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ovács József2\Adatvédelem- közzététel\2022 július honlap\"/>
    </mc:Choice>
  </mc:AlternateContent>
  <xr:revisionPtr revIDLastSave="0" documentId="8_{64DBEF87-5BFC-4BC0-B17E-EB8AA8BD8E9E}" xr6:coauthVersionLast="47" xr6:coauthVersionMax="47" xr10:uidLastSave="{00000000-0000-0000-0000-000000000000}"/>
  <bookViews>
    <workbookView xWindow="-120" yWindow="-120" windowWidth="19440" windowHeight="15000" tabRatio="928" xr2:uid="{00000000-000D-0000-FFFF-FFFF00000000}"/>
  </bookViews>
  <sheets>
    <sheet name="I. táblázat" sheetId="1" r:id="rId1"/>
    <sheet name="II. táblázat" sheetId="6" r:id="rId2"/>
    <sheet name="III. táblázat" sheetId="5" r:id="rId3"/>
    <sheet name="IV. táblázat" sheetId="4" r:id="rId4"/>
    <sheet name="V. táblázat" sheetId="10" r:id="rId5"/>
    <sheet name="VI. táblázat" sheetId="9" r:id="rId6"/>
    <sheet name="VII. táblázat" sheetId="8" r:id="rId7"/>
    <sheet name="VIII. táblázat" sheetId="7" r:id="rId8"/>
    <sheet name="IX. táblázat" sheetId="13" r:id="rId9"/>
    <sheet name="X. táblázat" sheetId="11" r:id="rId10"/>
    <sheet name="XI. táblázat" sheetId="3" r:id="rId11"/>
  </sheets>
  <definedNames>
    <definedName name="_xlnm._FilterDatabase" localSheetId="7" hidden="1">'VIII. táblázat'!$A$3:$I$63</definedName>
    <definedName name="_xlnm._FilterDatabase" localSheetId="9" hidden="1">'X. táblázat'!$A$3:$N$132</definedName>
    <definedName name="_pr470" localSheetId="3">'IV. táblázat'!$A$2</definedName>
    <definedName name="_pr475" localSheetId="3">'IV. táblázat'!$A$3</definedName>
    <definedName name="_pr497" localSheetId="6">'VII. táblázat'!$A$3</definedName>
    <definedName name="_pr500" localSheetId="6">'VII. táblázat'!$A$4</definedName>
    <definedName name="_pr501" localSheetId="6">'VII. táblázat'!$A$5</definedName>
    <definedName name="_xlnm.Print_Titles" localSheetId="8">'IX. táblázat'!$1:$3</definedName>
    <definedName name="_xlnm.Print_Titles" localSheetId="7">'VIII. táblázat'!$1:$3</definedName>
    <definedName name="_xlnm.Print_Titles" localSheetId="9">'X. táblázat'!$1:$3</definedName>
    <definedName name="_xlnm.Print_Titles" localSheetId="10">'XI. táblázat'!$1:$3</definedName>
    <definedName name="_xlnm.Print_Area" localSheetId="0">'I. táblázat'!$A$1:$E$23</definedName>
    <definedName name="_xlnm.Print_Area" localSheetId="8">'IX. táblázat'!$A$1:$G$107</definedName>
    <definedName name="_xlnm.Print_Area" localSheetId="4">'V. táblázat'!$A$1:$D$12</definedName>
    <definedName name="_xlnm.Print_Area" localSheetId="5">'VI. táblázat'!$A$1:$C$10</definedName>
    <definedName name="_xlnm.Print_Area" localSheetId="9">'X. táblázat'!$A$1:$J$135</definedName>
    <definedName name="_xlnm.Print_Area" localSheetId="10">'XI. táblázat'!$A$1:$P$134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6" l="1"/>
  <c r="E24" i="6"/>
  <c r="E21" i="6"/>
  <c r="E23" i="1"/>
  <c r="I64" i="7" l="1"/>
  <c r="G107" i="13" l="1"/>
  <c r="H134" i="11"/>
  <c r="J133" i="3"/>
  <c r="K133" i="3" s="1"/>
  <c r="J134" i="3"/>
  <c r="K134" i="3" s="1"/>
  <c r="I133" i="3"/>
  <c r="L133" i="3" s="1"/>
  <c r="I134" i="3"/>
  <c r="L134" i="3" s="1"/>
  <c r="H135" i="11" l="1"/>
  <c r="G105" i="13" l="1"/>
  <c r="G106" i="13"/>
  <c r="I63" i="7" l="1"/>
  <c r="H77" i="11" l="1"/>
  <c r="H78" i="11"/>
  <c r="H79" i="11"/>
  <c r="H80" i="11"/>
  <c r="H29" i="11" l="1"/>
  <c r="H133" i="11" l="1"/>
  <c r="P131" i="3" l="1"/>
  <c r="I62" i="7"/>
  <c r="J132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5" i="3"/>
  <c r="J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5" i="3"/>
  <c r="I4" i="3"/>
  <c r="K132" i="3" l="1"/>
  <c r="L132" i="3"/>
  <c r="K131" i="3"/>
  <c r="L131" i="3"/>
  <c r="K130" i="3"/>
  <c r="L130" i="3"/>
  <c r="L128" i="3"/>
  <c r="L127" i="3"/>
  <c r="L126" i="3"/>
  <c r="L125" i="3"/>
  <c r="L123" i="3"/>
  <c r="K119" i="3"/>
  <c r="K118" i="3"/>
  <c r="L118" i="3"/>
  <c r="L117" i="3"/>
  <c r="L115" i="3"/>
  <c r="L114" i="3"/>
  <c r="K113" i="3"/>
  <c r="L113" i="3"/>
  <c r="L112" i="3"/>
  <c r="K111" i="3"/>
  <c r="L109" i="3"/>
  <c r="L108" i="3"/>
  <c r="K107" i="3"/>
  <c r="K106" i="3"/>
  <c r="L106" i="3"/>
  <c r="L105" i="3"/>
  <c r="L103" i="3"/>
  <c r="K102" i="3"/>
  <c r="L102" i="3"/>
  <c r="L100" i="3"/>
  <c r="K98" i="3"/>
  <c r="L98" i="3"/>
  <c r="L97" i="3"/>
  <c r="K96" i="3"/>
  <c r="L96" i="3"/>
  <c r="L95" i="3"/>
  <c r="L94" i="3"/>
  <c r="L93" i="3"/>
  <c r="L92" i="3"/>
  <c r="L89" i="3"/>
  <c r="L88" i="3"/>
  <c r="L87" i="3"/>
  <c r="L86" i="3"/>
  <c r="L85" i="3"/>
  <c r="L84" i="3"/>
  <c r="K83" i="3"/>
  <c r="L83" i="3"/>
  <c r="L80" i="3"/>
  <c r="L77" i="3"/>
  <c r="L76" i="3"/>
  <c r="K74" i="3"/>
  <c r="L74" i="3"/>
  <c r="L73" i="3"/>
  <c r="L72" i="3"/>
  <c r="L71" i="3"/>
  <c r="L69" i="3"/>
  <c r="L67" i="3"/>
  <c r="L65" i="3"/>
  <c r="K63" i="3"/>
  <c r="L63" i="3"/>
  <c r="L61" i="3"/>
  <c r="L59" i="3"/>
  <c r="L57" i="3"/>
  <c r="L55" i="3"/>
  <c r="L53" i="3"/>
  <c r="K51" i="3"/>
  <c r="L51" i="3"/>
  <c r="L49" i="3"/>
  <c r="K47" i="3"/>
  <c r="K46" i="3"/>
  <c r="L46" i="3"/>
  <c r="L45" i="3"/>
  <c r="L43" i="3"/>
  <c r="K42" i="3"/>
  <c r="L42" i="3"/>
  <c r="L40" i="3"/>
  <c r="K39" i="3"/>
  <c r="L38" i="3"/>
  <c r="K36" i="3"/>
  <c r="L36" i="3"/>
  <c r="L35" i="3"/>
  <c r="K34" i="3"/>
  <c r="L34" i="3"/>
  <c r="L33" i="3"/>
  <c r="L32" i="3"/>
  <c r="L31" i="3"/>
  <c r="K30" i="3"/>
  <c r="L30" i="3"/>
  <c r="K28" i="3"/>
  <c r="L28" i="3"/>
  <c r="L27" i="3"/>
  <c r="K26" i="3"/>
  <c r="L26" i="3"/>
  <c r="L25" i="3"/>
  <c r="L23" i="3"/>
  <c r="L22" i="3"/>
  <c r="K20" i="3"/>
  <c r="L20" i="3"/>
  <c r="K19" i="3"/>
  <c r="L19" i="3"/>
  <c r="K18" i="3"/>
  <c r="L18" i="3"/>
  <c r="L17" i="3"/>
  <c r="L16" i="3"/>
  <c r="K15" i="3"/>
  <c r="L15" i="3"/>
  <c r="L14" i="3"/>
  <c r="L13" i="3"/>
  <c r="K12" i="3"/>
  <c r="K11" i="3"/>
  <c r="L11" i="3"/>
  <c r="L10" i="3"/>
  <c r="K9" i="3"/>
  <c r="K8" i="3"/>
  <c r="K7" i="3"/>
  <c r="L7" i="3"/>
  <c r="K6" i="3"/>
  <c r="K5" i="3"/>
  <c r="L5" i="3"/>
  <c r="L111" i="3"/>
  <c r="L120" i="3"/>
  <c r="L129" i="3"/>
  <c r="K4" i="3"/>
  <c r="L4" i="3"/>
  <c r="D60" i="7"/>
  <c r="D59" i="7"/>
  <c r="D58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8" i="7"/>
  <c r="G55" i="13"/>
  <c r="I61" i="7"/>
  <c r="G104" i="13"/>
  <c r="H132" i="11"/>
  <c r="G39" i="13"/>
  <c r="G38" i="13"/>
  <c r="G87" i="13"/>
  <c r="G86" i="13"/>
  <c r="G85" i="13"/>
  <c r="G84" i="13"/>
  <c r="G83" i="13"/>
  <c r="G82" i="13"/>
  <c r="G81" i="13"/>
  <c r="G80" i="13"/>
  <c r="G79" i="13"/>
  <c r="G76" i="13"/>
  <c r="G73" i="13"/>
  <c r="G72" i="13"/>
  <c r="G71" i="13"/>
  <c r="G70" i="13"/>
  <c r="G68" i="13"/>
  <c r="G66" i="13"/>
  <c r="G65" i="13"/>
  <c r="G63" i="13"/>
  <c r="G52" i="13"/>
  <c r="G40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K108" i="3"/>
  <c r="L121" i="3"/>
  <c r="L110" i="3"/>
  <c r="L104" i="3"/>
  <c r="L90" i="3"/>
  <c r="L82" i="3"/>
  <c r="L78" i="3"/>
  <c r="L75" i="3"/>
  <c r="L44" i="3"/>
  <c r="L24" i="3"/>
  <c r="L9" i="3"/>
  <c r="K129" i="3"/>
  <c r="K127" i="3"/>
  <c r="K125" i="3"/>
  <c r="K123" i="3"/>
  <c r="K120" i="3"/>
  <c r="K117" i="3"/>
  <c r="K114" i="3"/>
  <c r="K112" i="3"/>
  <c r="K109" i="3"/>
  <c r="K105" i="3"/>
  <c r="K104" i="3"/>
  <c r="K101" i="3"/>
  <c r="K92" i="3"/>
  <c r="K91" i="3"/>
  <c r="K88" i="3"/>
  <c r="K87" i="3"/>
  <c r="K86" i="3"/>
  <c r="K82" i="3"/>
  <c r="K81" i="3"/>
  <c r="K80" i="3"/>
  <c r="K78" i="3"/>
  <c r="K72" i="3"/>
  <c r="K70" i="3"/>
  <c r="K68" i="3"/>
  <c r="K66" i="3"/>
  <c r="K64" i="3"/>
  <c r="K62" i="3"/>
  <c r="K60" i="3"/>
  <c r="K57" i="3"/>
  <c r="K55" i="3"/>
  <c r="K54" i="3"/>
  <c r="K52" i="3"/>
  <c r="K49" i="3"/>
  <c r="K48" i="3"/>
  <c r="K45" i="3"/>
  <c r="K38" i="3"/>
  <c r="K33" i="3"/>
  <c r="K25" i="3"/>
  <c r="K22" i="3"/>
  <c r="K17" i="3"/>
  <c r="H116" i="11"/>
  <c r="H108" i="11"/>
  <c r="K122" i="3"/>
  <c r="K115" i="3"/>
  <c r="K110" i="3"/>
  <c r="K103" i="3"/>
  <c r="K100" i="3"/>
  <c r="K99" i="3"/>
  <c r="K97" i="3"/>
  <c r="K95" i="3"/>
  <c r="K93" i="3"/>
  <c r="K89" i="3"/>
  <c r="K85" i="3"/>
  <c r="K79" i="3"/>
  <c r="K76" i="3"/>
  <c r="K75" i="3"/>
  <c r="K69" i="3"/>
  <c r="K67" i="3"/>
  <c r="K61" i="3"/>
  <c r="K58" i="3"/>
  <c r="K56" i="3"/>
  <c r="K53" i="3"/>
  <c r="K50" i="3"/>
  <c r="K43" i="3"/>
  <c r="K41" i="3"/>
  <c r="K32" i="3"/>
  <c r="K24" i="3"/>
  <c r="K16" i="3"/>
  <c r="K14" i="3"/>
  <c r="K13" i="3"/>
  <c r="K10" i="3"/>
  <c r="L122" i="3"/>
  <c r="L116" i="3"/>
  <c r="L107" i="3"/>
  <c r="L101" i="3"/>
  <c r="L99" i="3"/>
  <c r="L79" i="3"/>
  <c r="L124" i="3"/>
  <c r="L91" i="3"/>
  <c r="L81" i="3"/>
  <c r="L70" i="3"/>
  <c r="L68" i="3"/>
  <c r="L66" i="3"/>
  <c r="L64" i="3"/>
  <c r="L62" i="3"/>
  <c r="L60" i="3"/>
  <c r="L58" i="3"/>
  <c r="L56" i="3"/>
  <c r="L54" i="3"/>
  <c r="L52" i="3"/>
  <c r="L50" i="3"/>
  <c r="L48" i="3"/>
  <c r="L41" i="3"/>
  <c r="L39" i="3"/>
  <c r="L37" i="3"/>
  <c r="L29" i="3"/>
  <c r="L21" i="3"/>
  <c r="L12" i="3"/>
  <c r="L8" i="3"/>
  <c r="L6" i="3"/>
  <c r="P98" i="3"/>
  <c r="B23" i="13"/>
  <c r="B24" i="13"/>
  <c r="B27" i="13"/>
  <c r="B28" i="13"/>
  <c r="B29" i="13"/>
  <c r="B30" i="13"/>
  <c r="B31" i="13"/>
  <c r="B33" i="13"/>
  <c r="B34" i="13"/>
  <c r="B35" i="13"/>
  <c r="B37" i="13"/>
  <c r="B68" i="13"/>
  <c r="B71" i="13"/>
  <c r="B72" i="13"/>
  <c r="B73" i="13"/>
  <c r="B76" i="13"/>
  <c r="B79" i="13"/>
  <c r="B81" i="13"/>
  <c r="H98" i="11"/>
  <c r="H87" i="11"/>
  <c r="P86" i="3"/>
  <c r="P80" i="3"/>
  <c r="P79" i="3"/>
  <c r="K44" i="3"/>
  <c r="K121" i="3"/>
  <c r="K84" i="3"/>
  <c r="K40" i="3"/>
  <c r="H4" i="11"/>
  <c r="H5" i="11"/>
  <c r="H6" i="11"/>
  <c r="H7" i="11"/>
  <c r="H8" i="11"/>
  <c r="P4" i="3"/>
  <c r="P5" i="3"/>
  <c r="P6" i="3"/>
  <c r="P7" i="3"/>
  <c r="P8" i="3"/>
  <c r="P10" i="3"/>
  <c r="P11" i="3"/>
  <c r="P12" i="3"/>
  <c r="P13" i="3"/>
  <c r="P14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81" i="3"/>
  <c r="P82" i="3"/>
  <c r="P83" i="3"/>
  <c r="P84" i="3"/>
  <c r="P85" i="3"/>
  <c r="P87" i="3"/>
  <c r="P88" i="3"/>
  <c r="P89" i="3"/>
  <c r="P90" i="3"/>
  <c r="P91" i="3"/>
  <c r="P92" i="3"/>
  <c r="P93" i="3"/>
  <c r="P94" i="3"/>
  <c r="P95" i="3"/>
  <c r="P96" i="3"/>
  <c r="P97" i="3"/>
  <c r="P99" i="3"/>
  <c r="P100" i="3"/>
  <c r="P101" i="3"/>
  <c r="P102" i="3"/>
  <c r="P103" i="3"/>
  <c r="P104" i="3"/>
  <c r="P106" i="3"/>
  <c r="P107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L47" i="3"/>
  <c r="L119" i="3"/>
  <c r="K21" i="3"/>
  <c r="K23" i="3"/>
  <c r="K27" i="3"/>
  <c r="K29" i="3"/>
  <c r="K31" i="3"/>
  <c r="K35" i="3"/>
  <c r="K37" i="3"/>
  <c r="K59" i="3"/>
  <c r="K65" i="3"/>
  <c r="K71" i="3"/>
  <c r="K73" i="3"/>
  <c r="K77" i="3"/>
  <c r="K90" i="3"/>
  <c r="K94" i="3"/>
  <c r="K116" i="3"/>
  <c r="K124" i="3"/>
  <c r="K126" i="3"/>
  <c r="K128" i="3"/>
  <c r="H9" i="11"/>
  <c r="H10" i="11"/>
  <c r="H11" i="11"/>
  <c r="H12" i="11"/>
  <c r="H13" i="11"/>
  <c r="H14" i="11"/>
  <c r="H15" i="11"/>
  <c r="H17" i="11"/>
  <c r="H16" i="11"/>
  <c r="H18" i="11"/>
  <c r="H20" i="11"/>
  <c r="H19" i="11"/>
  <c r="H21" i="11"/>
  <c r="H22" i="11"/>
  <c r="H23" i="11"/>
  <c r="H24" i="11"/>
  <c r="H25" i="11"/>
  <c r="H26" i="11"/>
  <c r="H27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4" i="11"/>
  <c r="H53" i="11"/>
  <c r="H55" i="11"/>
  <c r="H56" i="11"/>
  <c r="H57" i="11"/>
  <c r="H58" i="11"/>
  <c r="H59" i="11"/>
  <c r="H60" i="11"/>
  <c r="H61" i="11"/>
  <c r="H62" i="11"/>
  <c r="H63" i="11"/>
  <c r="H64" i="11"/>
  <c r="H65" i="11"/>
  <c r="H67" i="11"/>
  <c r="H68" i="11"/>
  <c r="H69" i="11"/>
  <c r="H70" i="11"/>
  <c r="H71" i="11"/>
  <c r="H66" i="11"/>
  <c r="H72" i="11"/>
  <c r="H73" i="11"/>
  <c r="H74" i="11"/>
  <c r="H75" i="11"/>
  <c r="H76" i="11"/>
  <c r="H81" i="11"/>
  <c r="H82" i="11"/>
  <c r="H83" i="11"/>
  <c r="H84" i="11"/>
  <c r="H85" i="11"/>
  <c r="H86" i="11"/>
  <c r="H88" i="11"/>
  <c r="H89" i="11"/>
  <c r="H90" i="11"/>
  <c r="H91" i="11"/>
  <c r="H92" i="11"/>
  <c r="H93" i="11"/>
  <c r="H94" i="11"/>
  <c r="H95" i="11"/>
  <c r="H96" i="11"/>
  <c r="H97" i="11"/>
  <c r="H99" i="11"/>
  <c r="H100" i="11"/>
  <c r="H101" i="11"/>
  <c r="H102" i="11"/>
  <c r="H103" i="11"/>
  <c r="H104" i="11"/>
  <c r="H105" i="11"/>
  <c r="H106" i="11"/>
  <c r="H107" i="11"/>
  <c r="H109" i="11"/>
  <c r="H110" i="11"/>
  <c r="H111" i="11"/>
  <c r="H112" i="11"/>
  <c r="H113" i="11"/>
  <c r="H114" i="11"/>
  <c r="H115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</calcChain>
</file>

<file path=xl/sharedStrings.xml><?xml version="1.0" encoding="utf-8"?>
<sst xmlns="http://schemas.openxmlformats.org/spreadsheetml/2006/main" count="1190" uniqueCount="532">
  <si>
    <t>Sor- szám</t>
  </si>
  <si>
    <t>Megnevezés</t>
  </si>
  <si>
    <t>Mérték- egység</t>
  </si>
  <si>
    <t>1.</t>
  </si>
  <si>
    <t>A fűtési időszak átlaghőmérséklete</t>
  </si>
  <si>
    <t>°C</t>
  </si>
  <si>
    <t>2.</t>
  </si>
  <si>
    <t>Lakossági felhasználók számára értékesített fűtési célú hő</t>
  </si>
  <si>
    <t>GJ</t>
  </si>
  <si>
    <t>3.</t>
  </si>
  <si>
    <t>Lakossági felhasználók számára értékesített használati melegvíz felmelegítésére felhasznált hő</t>
  </si>
  <si>
    <t>5.</t>
  </si>
  <si>
    <t>Egyéb felhasználók számára értékesített hő</t>
  </si>
  <si>
    <t>6.</t>
  </si>
  <si>
    <t>Értékesített villamos energia mennyisége,</t>
  </si>
  <si>
    <t>MWh</t>
  </si>
  <si>
    <t>7.</t>
  </si>
  <si>
    <t>Lakossági felhasználók legalacsonyabb éves fűtési hőfogyasztással rendelkező tizedének átlagos éves fajlagos fogyasztása</t>
  </si>
  <si>
    <t>8.</t>
  </si>
  <si>
    <t>Lakossági felhasználók legmagasabb éves fűtési hőfogyasztással rendelkező tizedének átlagos éves fajlagos fogyasztása</t>
  </si>
  <si>
    <t>9.</t>
  </si>
  <si>
    <t>ezer Ft</t>
  </si>
  <si>
    <t>11.</t>
  </si>
  <si>
    <t>Lakossági felhasználóktól származó, fűtési célra értékesített hő mennyiségétől függő árbevétel</t>
  </si>
  <si>
    <t>12.</t>
  </si>
  <si>
    <t>Lakossági felhasználóktól, használati melegvíz értékesítésből származó, az értékesített hő mennyiségétől függő árbevétel, víz- és csatornadíj nélkül</t>
  </si>
  <si>
    <t>13.</t>
  </si>
  <si>
    <t>14.</t>
  </si>
  <si>
    <t>Egyéb felhasználóktól, hő értékesítésből származó, az értékesített hő mennyiségétől függő árbevétel</t>
  </si>
  <si>
    <t>15.</t>
  </si>
  <si>
    <t>Villamosenergia-értékesítésből származó árbevétel</t>
  </si>
  <si>
    <t>16.</t>
  </si>
  <si>
    <t>A távhőszolgáltató nevén nyilvántartott, vízmérőn mért víz- és csatornadíjból származó árbevétel</t>
  </si>
  <si>
    <t>17.</t>
  </si>
  <si>
    <t>Központi költségvetésből származó állami támogatások</t>
  </si>
  <si>
    <t>18.</t>
  </si>
  <si>
    <t>Helyi önkormányzattól kapott támogatások</t>
  </si>
  <si>
    <t>19.</t>
  </si>
  <si>
    <t>Egyéb támogatások</t>
  </si>
  <si>
    <t>20.</t>
  </si>
  <si>
    <t>Egyéb árbevétel és egyéb bevétel</t>
  </si>
  <si>
    <t>21.</t>
  </si>
  <si>
    <t>Árbevétel és egyéb bevétel összesen</t>
  </si>
  <si>
    <t>II. táblázat</t>
  </si>
  <si>
    <t>Felhasznált energia mennyisége összesen:</t>
  </si>
  <si>
    <t>Saját tulajdonú berendezésekkel kapcsoltan termelt hő</t>
  </si>
  <si>
    <t>Saját kazánokból származó hő</t>
  </si>
  <si>
    <t>Egyéb forrásból származó saját termelésű hő (pl. geotermikus alapú)</t>
  </si>
  <si>
    <t>Távhőszolgáltató által előállított hő mennyisége összesen</t>
  </si>
  <si>
    <t>Távhőszolgáltató által vásárolt hő mennyisége összesen</t>
  </si>
  <si>
    <t>Felhasznált földgáz mennyisége</t>
  </si>
  <si>
    <t>Felhasznált szénhidrogén mennyisége</t>
  </si>
  <si>
    <t>Felhasznált megújuló energiaforrások mennyisége</t>
  </si>
  <si>
    <t>Felhasznált egyéb energia mennyisége</t>
  </si>
  <si>
    <t>Saját termelésű hő előállításának hőtermelésre eső költsége összesen:</t>
  </si>
  <si>
    <t>Felhasznált gáz teljesítmény díja</t>
  </si>
  <si>
    <t>Felhasznált gáz gázdíja</t>
  </si>
  <si>
    <t>Saját termelésű hő előállításának egyéb elszámolt költsége</t>
  </si>
  <si>
    <t>Saját termelésű hő előállításának költsége összesen</t>
  </si>
  <si>
    <t>Vásárolt hő költsége összesen:</t>
  </si>
  <si>
    <t>Vásárolt hő teljesítménydíja</t>
  </si>
  <si>
    <t>Vásárolt hő energiadíja</t>
  </si>
  <si>
    <t>4.</t>
  </si>
  <si>
    <t>Hálózat üzemeltetés energia költsége összesen:</t>
  </si>
  <si>
    <t>Hálózat üzemeltetéshez felhasznált villamos energia költsége</t>
  </si>
  <si>
    <t>A távhőszolgáltatás energián kívüli költségei összesen:</t>
  </si>
  <si>
    <t>Értékcsökkenés</t>
  </si>
  <si>
    <t>Bérek és járulékai</t>
  </si>
  <si>
    <t>Távhőszolgáltatást terhelő nem felosztott költségek</t>
  </si>
  <si>
    <t>Távhőszolgáltatást terhelő pénzügyi költségek</t>
  </si>
  <si>
    <t>Egyéb költségek</t>
  </si>
  <si>
    <t>Sor-szám</t>
  </si>
  <si>
    <t>Mérték-egység</t>
  </si>
  <si>
    <t>1.1.</t>
  </si>
  <si>
    <t>1.2.</t>
  </si>
  <si>
    <t>1.3.</t>
  </si>
  <si>
    <t>1.4.</t>
  </si>
  <si>
    <t>1.5.</t>
  </si>
  <si>
    <t>1.6.</t>
  </si>
  <si>
    <t>Távhőszolgáltató által hőtermelésre felhasznált összes ener-giahordozó mennyisége</t>
  </si>
  <si>
    <t>1.6.1.</t>
  </si>
  <si>
    <t>1.6.2.</t>
  </si>
  <si>
    <t>1.6.3.</t>
  </si>
  <si>
    <t>1.6.4.</t>
  </si>
  <si>
    <t>2.1.</t>
  </si>
  <si>
    <t>2.2.</t>
  </si>
  <si>
    <t>2.3.</t>
  </si>
  <si>
    <t>Nem földgáztüzelés esetén a felhasznált energiahordozó ösz-szes költsége</t>
  </si>
  <si>
    <t>2.4.</t>
  </si>
  <si>
    <t>2.5.</t>
  </si>
  <si>
    <t>3.1.</t>
  </si>
  <si>
    <t>3.2.</t>
  </si>
  <si>
    <t>4.1.</t>
  </si>
  <si>
    <t>5.1.</t>
  </si>
  <si>
    <t>5.2.</t>
  </si>
  <si>
    <t>5.3.</t>
  </si>
  <si>
    <t>5.4.</t>
  </si>
  <si>
    <t>5.5.</t>
  </si>
  <si>
    <t>III. táblázat</t>
  </si>
  <si>
    <t>Lekötött földgáz teljesítmény</t>
  </si>
  <si>
    <t>Az adott évben maximálisan igénybe vett földgáz teljesítmény</t>
  </si>
  <si>
    <t>Maximális távhőteljesítmény igény</t>
  </si>
  <si>
    <t>VIII. táblázat</t>
  </si>
  <si>
    <t xml:space="preserve">Elszámolási 
mérés helyét 
jelentő 
hőközpontok 
azonosító jele
</t>
  </si>
  <si>
    <t xml:space="preserve">Hőközponti 
mérés alapján 
elszámolt 
díjfizetők száma 
(db)
</t>
  </si>
  <si>
    <t xml:space="preserve">Egycsöves 
átfolyós fűtési 
rendszerű 
díjfizetők száma 
(db)
</t>
  </si>
  <si>
    <t xml:space="preserve">Egycsöves 
átkötőcsöves fűtési 
rendszerű 
díjfizetők száma 
(db)
</t>
  </si>
  <si>
    <t xml:space="preserve">Lekötött 
teljesítmény 
(MW)
</t>
  </si>
  <si>
    <t xml:space="preserve">Éves 
alapdíj 
(ezer Ft)
</t>
  </si>
  <si>
    <t>IX. táblázat</t>
  </si>
  <si>
    <t>6009</t>
  </si>
  <si>
    <t>6010</t>
  </si>
  <si>
    <t>6026</t>
  </si>
  <si>
    <t>6027</t>
  </si>
  <si>
    <t>6028</t>
  </si>
  <si>
    <t>6029</t>
  </si>
  <si>
    <t>6030</t>
  </si>
  <si>
    <t>6031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</si>
  <si>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</si>
  <si>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</si>
  <si>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</si>
  <si>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</si>
  <si>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</si>
  <si>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</si>
  <si>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</si>
  <si>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</si>
  <si>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</si>
  <si>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</si>
  <si>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</si>
  <si>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</si>
  <si>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</si>
  <si>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</si>
  <si>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</si>
  <si>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</si>
  <si>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</si>
  <si>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6053</t>
  </si>
  <si>
    <t>6057</t>
  </si>
  <si>
    <t>6058</t>
  </si>
  <si>
    <t>6061</t>
  </si>
  <si>
    <t>6062</t>
  </si>
  <si>
    <t>6063</t>
  </si>
  <si>
    <t>6064</t>
  </si>
  <si>
    <t>6065</t>
  </si>
  <si>
    <t>6066</t>
  </si>
  <si>
    <t>6068</t>
  </si>
  <si>
    <t>6069</t>
  </si>
  <si>
    <t>6070</t>
  </si>
  <si>
    <t>6071</t>
  </si>
  <si>
    <t>6072</t>
  </si>
  <si>
    <t>6073</t>
  </si>
  <si>
    <t>6075</t>
  </si>
  <si>
    <t>6077</t>
  </si>
  <si>
    <t>6078</t>
  </si>
  <si>
    <t>6079</t>
  </si>
  <si>
    <t>6080</t>
  </si>
  <si>
    <t>6084</t>
  </si>
  <si>
    <t>6086</t>
  </si>
  <si>
    <t>6087</t>
  </si>
  <si>
    <t>6088</t>
  </si>
  <si>
    <t>6090</t>
  </si>
  <si>
    <t>6093</t>
  </si>
  <si>
    <t>6094</t>
  </si>
  <si>
    <t>6095</t>
  </si>
  <si>
    <t>6096</t>
  </si>
  <si>
    <t>6098</t>
  </si>
  <si>
    <t>6100</t>
  </si>
  <si>
    <t>6103</t>
  </si>
  <si>
    <t>6107</t>
  </si>
  <si>
    <t>6116</t>
  </si>
  <si>
    <t>6118</t>
  </si>
  <si>
    <t>6123</t>
  </si>
  <si>
    <t>6124</t>
  </si>
  <si>
    <t>6125</t>
  </si>
  <si>
    <t>6126</t>
  </si>
  <si>
    <t>6128</t>
  </si>
  <si>
    <t>6129</t>
  </si>
  <si>
    <t>6130</t>
  </si>
  <si>
    <t>6131</t>
  </si>
  <si>
    <t>6132</t>
  </si>
  <si>
    <t>6133</t>
  </si>
  <si>
    <t>6136</t>
  </si>
  <si>
    <t>6137</t>
  </si>
  <si>
    <t>6138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</si>
  <si>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</si>
  <si>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</si>
  <si>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</si>
  <si>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</si>
  <si>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</si>
  <si>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</si>
  <si>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</si>
  <si>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</si>
  <si>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</si>
  <si>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</si>
  <si>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</si>
  <si>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</si>
  <si>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6154</t>
  </si>
  <si>
    <t>6155</t>
  </si>
  <si>
    <t>6156</t>
  </si>
  <si>
    <t>6157</t>
  </si>
  <si>
    <t>6161</t>
  </si>
  <si>
    <t>6162</t>
  </si>
  <si>
    <t>6163</t>
  </si>
  <si>
    <t>A/1</t>
  </si>
  <si>
    <t>A/2</t>
  </si>
  <si>
    <t>A/3</t>
  </si>
  <si>
    <t>A/4</t>
  </si>
  <si>
    <t>B/1</t>
  </si>
  <si>
    <t>B/2</t>
  </si>
  <si>
    <t>B/3</t>
  </si>
  <si>
    <t>XI. táblázat</t>
  </si>
  <si>
    <t>V. táblázat</t>
  </si>
  <si>
    <t>Mértékegység</t>
  </si>
  <si>
    <t>Távhőtermelő létesítmények beruházásainak aktivált értéke</t>
  </si>
  <si>
    <t xml:space="preserve">Felhasználói hőközpontok beruházásainak aktivált értéke </t>
  </si>
  <si>
    <t>Szolgáltatói hőközpontok beruházásainak aktivált értéke</t>
  </si>
  <si>
    <t>Termelői hőközpont beruházások aktivált értéke</t>
  </si>
  <si>
    <t>Aktivált beruházások keretében beszerzett hőközpontok száma</t>
  </si>
  <si>
    <t>Távvezeték beruházások aktivált értéke</t>
  </si>
  <si>
    <t>Beruházások aktivált értéke összesen</t>
  </si>
  <si>
    <t>db</t>
  </si>
  <si>
    <t xml:space="preserve">Éves 
hődíj 
(ezer Ft)
</t>
  </si>
  <si>
    <t>1/A</t>
  </si>
  <si>
    <t>1/B</t>
  </si>
  <si>
    <t>1/C</t>
  </si>
  <si>
    <t>1/D</t>
  </si>
  <si>
    <t>1/E</t>
  </si>
  <si>
    <t>1/F</t>
  </si>
  <si>
    <t>1/G</t>
  </si>
  <si>
    <t>1/H</t>
  </si>
  <si>
    <t>111</t>
  </si>
  <si>
    <t>112</t>
  </si>
  <si>
    <t>113</t>
  </si>
  <si>
    <t>114</t>
  </si>
  <si>
    <t>115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</si>
  <si>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</si>
  <si>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</si>
  <si>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</si>
  <si>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</si>
  <si>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</si>
  <si>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</si>
  <si>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</si>
  <si>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</si>
  <si>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</si>
  <si>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</si>
  <si>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</si>
  <si>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132</t>
  </si>
  <si>
    <t>133</t>
  </si>
  <si>
    <t>134</t>
  </si>
  <si>
    <t>135</t>
  </si>
  <si>
    <t>136</t>
  </si>
  <si>
    <t>139</t>
  </si>
  <si>
    <t>141</t>
  </si>
  <si>
    <t>142</t>
  </si>
  <si>
    <t>143</t>
  </si>
  <si>
    <t>144</t>
  </si>
  <si>
    <t>157</t>
  </si>
  <si>
    <t>158</t>
  </si>
  <si>
    <t>159</t>
  </si>
  <si>
    <t>162</t>
  </si>
  <si>
    <t>163</t>
  </si>
  <si>
    <t>164</t>
  </si>
  <si>
    <t>201</t>
  </si>
  <si>
    <t>202</t>
  </si>
  <si>
    <t>203</t>
  </si>
  <si>
    <t>204</t>
  </si>
  <si>
    <t>207</t>
  </si>
  <si>
    <t>208</t>
  </si>
  <si>
    <t>209</t>
  </si>
  <si>
    <t>210</t>
  </si>
  <si>
    <t>211</t>
  </si>
  <si>
    <t>212</t>
  </si>
  <si>
    <t>214</t>
  </si>
  <si>
    <t>215</t>
  </si>
  <si>
    <t>216</t>
  </si>
  <si>
    <t>217A</t>
  </si>
  <si>
    <t>217B</t>
  </si>
  <si>
    <t>218</t>
  </si>
  <si>
    <t>219</t>
  </si>
  <si>
    <t>220</t>
  </si>
  <si>
    <t>221</t>
  </si>
  <si>
    <t>222A</t>
  </si>
  <si>
    <t>222B</t>
  </si>
  <si>
    <t>251</t>
  </si>
  <si>
    <t>252</t>
  </si>
  <si>
    <t>253</t>
  </si>
  <si>
    <t>254</t>
  </si>
  <si>
    <t>256</t>
  </si>
  <si>
    <t>258</t>
  </si>
  <si>
    <t>259</t>
  </si>
  <si>
    <t>260</t>
  </si>
  <si>
    <t>261</t>
  </si>
  <si>
    <t>262</t>
  </si>
  <si>
    <t>263</t>
  </si>
  <si>
    <t>264</t>
  </si>
  <si>
    <t>265</t>
  </si>
  <si>
    <t>269</t>
  </si>
  <si>
    <t>272</t>
  </si>
  <si>
    <t>273</t>
  </si>
  <si>
    <t>274</t>
  </si>
  <si>
    <t>275</t>
  </si>
  <si>
    <t>278</t>
  </si>
  <si>
    <t>279</t>
  </si>
  <si>
    <t>280</t>
  </si>
  <si>
    <t>281</t>
  </si>
  <si>
    <t>282</t>
  </si>
  <si>
    <t>283</t>
  </si>
  <si>
    <t>283A</t>
  </si>
  <si>
    <t>284</t>
  </si>
  <si>
    <t>285</t>
  </si>
  <si>
    <t>286</t>
  </si>
  <si>
    <t>X. táblázat</t>
  </si>
  <si>
    <t>Hőközpont azonosító jel</t>
  </si>
  <si>
    <t xml:space="preserve">Elszámolási 
mérés helyét 
jelentő 
hőközpontok illetve hőfogadó állomások
azonosító jele
</t>
  </si>
  <si>
    <t>Épületenkénti fűtött légköbméter</t>
  </si>
  <si>
    <t>Hőközpontban beállított hőfok</t>
  </si>
  <si>
    <t>Felhasználó által kért hőmérséklet épületenként</t>
  </si>
  <si>
    <t>Díjfizetők fogyasztás mértéke alapján fizetett teljes költsége "Hődíj" (ezer Ft )</t>
  </si>
  <si>
    <t>Díjfizetők alapdíja "Állandó költség" (ezer Ft)</t>
  </si>
  <si>
    <t>Egy díjfizető fogyasztás mértéke alapján fizetett költsége "Hődíj" (ezer Ft)</t>
  </si>
  <si>
    <t>Fűtési költségosztó vagy mérő alapján elszámolt díjfizetők száma (db)</t>
  </si>
  <si>
    <t>Melegvíz költségosztó vagy mérő alapján elszámolt díjfizetők száma (db)</t>
  </si>
  <si>
    <t>Fűtéshez használt 1 légköbméter átlagos hőmennyiség                     (GJ/légköbméter/év)</t>
  </si>
  <si>
    <t xml:space="preserve">Fűtött 
légtérfogat 
(m³)
</t>
  </si>
  <si>
    <t>Épületenként vállalkozási célra használt lakások, bérlemények (db)</t>
  </si>
  <si>
    <t>Lakásszám (db)</t>
  </si>
  <si>
    <t>Kikötött lakások száma (db)</t>
  </si>
  <si>
    <t>Fűtött lakások száma (db)</t>
  </si>
  <si>
    <t>VI. táblázat</t>
  </si>
  <si>
    <t>A távhőszolgáltatási tevékenységhez kapcsolódó foglalkoztatott létszám</t>
  </si>
  <si>
    <t>fő</t>
  </si>
  <si>
    <t>Az általános közüzemi szerződés keretében ellátott lakossági díjfizetők száma</t>
  </si>
  <si>
    <t>Ebből a költségosztás alapján elszámoló lakossági díjfizetők száma</t>
  </si>
  <si>
    <t>Az üzemeltetett távhővezeték hossza</t>
  </si>
  <si>
    <t>km</t>
  </si>
  <si>
    <t>Hőfogadó állomással nem rendelkező épületek száma</t>
  </si>
  <si>
    <t>Hőfogadó állomással nem rendelkező épületekben lévő lakossági díjfizetők száma</t>
  </si>
  <si>
    <t>VII. táblázat</t>
  </si>
  <si>
    <t>Cégnév</t>
  </si>
  <si>
    <t>Fő tevékenység</t>
  </si>
  <si>
    <t>Tulajdoni arány</t>
  </si>
  <si>
    <t>Előző évi árbevétel</t>
  </si>
  <si>
    <t>-</t>
  </si>
  <si>
    <t>IV. táblázat</t>
  </si>
  <si>
    <t>Szervezet neve</t>
  </si>
  <si>
    <t>TÁVHŐSZOLGÁLTATÁS
Gazdálkodásra vonatkozó gazdasági és műszaki információk</t>
  </si>
  <si>
    <t>I. táblázat</t>
  </si>
  <si>
    <t xml:space="preserve">Elszámolási mérés
 helyét jelentő 
hőközpontok illetve 
hőfogadó állomások
azonosító jele
</t>
  </si>
  <si>
    <t>GJ/légm3</t>
  </si>
  <si>
    <t>Szolgáltató érdekeltségei más társaságokban:</t>
  </si>
  <si>
    <t>Az előző üzleti évben aktivált, a szolgáltató tulajdonában lévő beruházásokra vonatkozó információk:</t>
  </si>
  <si>
    <t>Fűtési napok száma               (db/év )</t>
  </si>
  <si>
    <t>Lakossági felhasználók számára kiszámlázott fűtési és melegvíz alapdíj</t>
  </si>
  <si>
    <t>Egyéb felhasználóktól, hő értékesítésből származó, az értékesített hő mennyiségétől független alapdíj árbevétel</t>
  </si>
  <si>
    <t>Egyéb beruházások aktivált értéke</t>
  </si>
  <si>
    <t>Ellátott nem lakossági díjfizetők száma</t>
  </si>
  <si>
    <t>Árpád út 6-12.</t>
  </si>
  <si>
    <t>Árpád út 2-4.</t>
  </si>
  <si>
    <t>Deák tér 10.</t>
  </si>
  <si>
    <t>Deák tér 12.</t>
  </si>
  <si>
    <t>Deák tér 14.</t>
  </si>
  <si>
    <t>Árpád út 16.</t>
  </si>
  <si>
    <t>Árpád út 14.</t>
  </si>
  <si>
    <t>Szent István út 13-15.</t>
  </si>
  <si>
    <t>Deák tér 1-3.</t>
  </si>
  <si>
    <t>Szent István út 21-23.</t>
  </si>
  <si>
    <t>Árpád út 18-24.</t>
  </si>
  <si>
    <t>Árpád út 26-28.</t>
  </si>
  <si>
    <t>Árpád út 30-36.</t>
  </si>
  <si>
    <t>Árpád út 38-40.</t>
  </si>
  <si>
    <t>Örösi út 34-40.</t>
  </si>
  <si>
    <t>Örösi út 42-44.</t>
  </si>
  <si>
    <t>Hajdú tér 7-13.</t>
  </si>
  <si>
    <t xml:space="preserve">Elszámolási 
mérés helyét 
jelentő 
hőközpontok illetve hőfogadó állomások
címe
</t>
  </si>
  <si>
    <t>Pajtás köz 5-7.</t>
  </si>
  <si>
    <t>Pajtás köz 1-3.</t>
  </si>
  <si>
    <t>Szent István út 29-31.</t>
  </si>
  <si>
    <t>József Attila út 1-7.</t>
  </si>
  <si>
    <t>József Attila út 9-11.</t>
  </si>
  <si>
    <t>József Attila út 13-15.</t>
  </si>
  <si>
    <t>József Attlia út 17-19.</t>
  </si>
  <si>
    <t>Hajdú tér 5.</t>
  </si>
  <si>
    <t>Hajdú tér 3.</t>
  </si>
  <si>
    <t>Hajdú tér 1.</t>
  </si>
  <si>
    <t>József Attila út 23.</t>
  </si>
  <si>
    <t>József Attila út 25.</t>
  </si>
  <si>
    <t>József Attlila út 21.</t>
  </si>
  <si>
    <t>József Attila út 27-33.</t>
  </si>
  <si>
    <t>József Attila út 35-37.</t>
  </si>
  <si>
    <t>Örösi út 50-56.</t>
  </si>
  <si>
    <t>Örösi út 46-48.</t>
  </si>
  <si>
    <t>Szent István út 1-11.</t>
  </si>
  <si>
    <t>Mátyás király út 2-4.</t>
  </si>
  <si>
    <t>Mátyás király út 6-8.</t>
  </si>
  <si>
    <t>Mátyás király út 10-12.</t>
  </si>
  <si>
    <t>Mátyás király út 14-20.</t>
  </si>
  <si>
    <t>Mátyás király út 22-32.</t>
  </si>
  <si>
    <t>Mátyás király út 36-42.</t>
  </si>
  <si>
    <t>Örösi út 2-8.</t>
  </si>
  <si>
    <t>Örösi út 10-16.</t>
  </si>
  <si>
    <t>Örösi út 18-24.</t>
  </si>
  <si>
    <t>Örösi út 26-32.</t>
  </si>
  <si>
    <t>Bólyai köz 9-15.</t>
  </si>
  <si>
    <t>Bólyai köz 1-7.</t>
  </si>
  <si>
    <t>Árpád út 31-41.</t>
  </si>
  <si>
    <t>Árpád út 47-49.</t>
  </si>
  <si>
    <t>Bólyai köz 4.</t>
  </si>
  <si>
    <t>Bólyai köz 2.</t>
  </si>
  <si>
    <t>Árpád út 21-27.</t>
  </si>
  <si>
    <t>Alkotmány köz 3-9.</t>
  </si>
  <si>
    <t>Árpád út 9-19.</t>
  </si>
  <si>
    <t>Árpád út 1-7.</t>
  </si>
  <si>
    <t>Bethlen G. út 1-3.</t>
  </si>
  <si>
    <t>Barcsay J. tér 2-4.</t>
  </si>
  <si>
    <t>Barcsay J. tér 1-3.</t>
  </si>
  <si>
    <t>Barcsay J. tér 5-7.</t>
  </si>
  <si>
    <t>Szent István út 6-8.</t>
  </si>
  <si>
    <t>Szent István út 2-4.</t>
  </si>
  <si>
    <t>Barcsay J. tér 6-8.</t>
  </si>
  <si>
    <t>Építők útja 9-17.</t>
  </si>
  <si>
    <t>Kazinczy F. út 14-18.</t>
  </si>
  <si>
    <t>Építők útja 16-20.</t>
  </si>
  <si>
    <t>Építők útja 10-14.</t>
  </si>
  <si>
    <t>Építők útja 1-5.</t>
  </si>
  <si>
    <t>Bethlen G. út 10-16.</t>
  </si>
  <si>
    <t>Építők útja 2-6.</t>
  </si>
  <si>
    <t>Béke út 9-13.</t>
  </si>
  <si>
    <t>Rózsa út 1-5.</t>
  </si>
  <si>
    <t>Juhar köz 1-7.</t>
  </si>
  <si>
    <t>Juhar köz 2-8.</t>
  </si>
  <si>
    <t>Rózsa út 18-30.</t>
  </si>
  <si>
    <t>Munkácsy M. út 22.</t>
  </si>
  <si>
    <t>Munkácsy M. út 24.</t>
  </si>
  <si>
    <t>Építők útja 8.</t>
  </si>
  <si>
    <t>Rózsa út 13.</t>
  </si>
  <si>
    <t>Rózsa út 11.</t>
  </si>
  <si>
    <t>Rózsa út 9.</t>
  </si>
  <si>
    <t>Rózsa út 7.</t>
  </si>
  <si>
    <t>Munkácsy M. út 20.</t>
  </si>
  <si>
    <t>Bartók B. út 13-21.</t>
  </si>
  <si>
    <t>Tisza út 18-22.</t>
  </si>
  <si>
    <t>Tisza út 30-34.</t>
  </si>
  <si>
    <t>Kazinczy F. út 4-8.</t>
  </si>
  <si>
    <t>Tisza út 12-16.</t>
  </si>
  <si>
    <t>Tisza út 6-10.</t>
  </si>
  <si>
    <t>Tisza út 24-28.</t>
  </si>
  <si>
    <t>Építők útja 7.</t>
  </si>
  <si>
    <t>Munkácsy M. út 42-48.</t>
  </si>
  <si>
    <t>Lévai út 9-11.</t>
  </si>
  <si>
    <t>Lévai út 1-7.</t>
  </si>
  <si>
    <t>Szederkényi út 25-31.</t>
  </si>
  <si>
    <t>Szederkényi út 17-23.</t>
  </si>
  <si>
    <t>Rózsa út 2-8.</t>
  </si>
  <si>
    <t>Munkácsy M. út 38-40.</t>
  </si>
  <si>
    <t>Munkácsy M. út 30-36.</t>
  </si>
  <si>
    <t>Szederkényi út 9.</t>
  </si>
  <si>
    <t>Szederkényi út 7.</t>
  </si>
  <si>
    <t>Szederkényi út 5.</t>
  </si>
  <si>
    <t>Szederkényi út 3.</t>
  </si>
  <si>
    <t>Munkácsy M. út 2-8.</t>
  </si>
  <si>
    <t>Munkácsy M. út 10-16.</t>
  </si>
  <si>
    <t>Lórántffy Zs. út 1-7.</t>
  </si>
  <si>
    <t>Lórántffy Zs. út 9-15.</t>
  </si>
  <si>
    <t>Tisza út 11-17.</t>
  </si>
  <si>
    <t>Lórántffy Zs. út 4-10.</t>
  </si>
  <si>
    <t>Lórántffy Zs. út 12-18.</t>
  </si>
  <si>
    <t>Lorántffy Zs. út 2.</t>
  </si>
  <si>
    <t>Szederkényi út 1.</t>
  </si>
  <si>
    <t>Szederkényi út 11.</t>
  </si>
  <si>
    <t>Szederkényi út 13.</t>
  </si>
  <si>
    <t>Szederkényi út 15.</t>
  </si>
  <si>
    <t>Teleki B. út 3.</t>
  </si>
  <si>
    <t>Teleki B. út 1.</t>
  </si>
  <si>
    <t>Széchenyi út 1-5.</t>
  </si>
  <si>
    <t>Munkácsy M. út 7-11.</t>
  </si>
  <si>
    <t>Munkácsy M. út 1-5.</t>
  </si>
  <si>
    <t>Béke út 1-7.</t>
  </si>
  <si>
    <t>Árkád sor 1-4.</t>
  </si>
  <si>
    <t>Árkád sor 5-8.</t>
  </si>
  <si>
    <t>Árkád sor 9-12.</t>
  </si>
  <si>
    <t>Árkád sor 13-16.</t>
  </si>
  <si>
    <t>Bartók B. út 2.</t>
  </si>
  <si>
    <t>Bartók B. út 4.</t>
  </si>
  <si>
    <t>Bartók B. út 6.</t>
  </si>
  <si>
    <t>Bartók B. út 7-11.</t>
  </si>
  <si>
    <t>Hőközpontokban elszámolt HMV célú hőfelhasználás (GJ)</t>
  </si>
  <si>
    <t>Lakóépületekben elszámolt fűtési célú hőfelhasználás (GJ)</t>
  </si>
  <si>
    <t xml:space="preserve">137/A </t>
  </si>
  <si>
    <t xml:space="preserve">Egycsöves 
átkötőszakaszos fűtési 
rendszerű 
díjfizetők száma 
(db)
</t>
  </si>
  <si>
    <t xml:space="preserve">Elszámolási 
mérés helyét 
jelentő 
hőközpontok címe
címe
</t>
  </si>
  <si>
    <t xml:space="preserve">Elszámolási 
mérés helyét 
jelentő 
hőközpontok azonosító jele
azonosító jele
</t>
  </si>
  <si>
    <t>Egy díjfizető éves átlagos állandó költsége "Alapdíj"         ( ezer Ft)</t>
  </si>
  <si>
    <t>Mediterrán TH</t>
  </si>
  <si>
    <t>Hajdú tér 2.</t>
  </si>
  <si>
    <t>Mediterrán</t>
  </si>
  <si>
    <t>45</t>
  </si>
  <si>
    <t>20-21</t>
  </si>
  <si>
    <t>Lévay út 9-11.</t>
  </si>
  <si>
    <t>Lévay út 1-7.</t>
  </si>
  <si>
    <t xml:space="preserve">Keletkapu </t>
  </si>
  <si>
    <t>Vörösmarty 2/A-B</t>
  </si>
  <si>
    <t>21-19</t>
  </si>
  <si>
    <t>22-20</t>
  </si>
  <si>
    <t>21-20</t>
  </si>
  <si>
    <t>20-18</t>
  </si>
  <si>
    <t>23-20</t>
  </si>
  <si>
    <t>22-18</t>
  </si>
  <si>
    <t>20-19</t>
  </si>
  <si>
    <t>21-18-20</t>
  </si>
  <si>
    <t>21-18</t>
  </si>
  <si>
    <t>Keleti Városkapu TH</t>
  </si>
  <si>
    <t>24</t>
  </si>
  <si>
    <t>Keletkapu</t>
  </si>
  <si>
    <t>Észak-Dél TH</t>
  </si>
  <si>
    <t>Vörörsmarty 1.</t>
  </si>
  <si>
    <t>Vörösmarty 2.</t>
  </si>
  <si>
    <t>Észak-Dél</t>
  </si>
  <si>
    <t>Vörösmarty 1.</t>
  </si>
  <si>
    <t>2020. év</t>
  </si>
  <si>
    <t>2021. év</t>
  </si>
  <si>
    <t>2021 üzleti év végére vonatkozó információk:</t>
  </si>
  <si>
    <t>2021. üzleti évben távhőszolgáltatással kapcsolatban elért, az eredmény-kimutatásban szereplő árbevételre és egyéb bevételekre vonatkozó információk (a felhasználóhoz legközelebb eső felhasználási mérő alapján):</t>
  </si>
  <si>
    <t>2021 üzleti évben biztosított távhőszolgáltatás költségeire vonatkozó információk:</t>
  </si>
  <si>
    <t>2021. üzleti évi teljesítmény gazdálkodásra vonatkozó információk:</t>
  </si>
  <si>
    <t>Önkormányzati tulajdonban levő távhőszolgáltatók esetén a  2021 üzleti évben támogatott jogi személyek neve és a támogatás összege:</t>
  </si>
  <si>
    <t>2021 év végén hőközpontokban lekötött teljesítmény és költsége:</t>
  </si>
  <si>
    <t>2021 év végén az elszámolási mérések helyét jelentő hőközpontokban lekötött teljesítmény és költsége:</t>
  </si>
  <si>
    <t>2021 évben  az elszámolási mérések helyét jelentő hőközpontokban elszámolt fogyasztás:</t>
  </si>
  <si>
    <t>2021 év végén az elszámolási mérések helyét jelentő hőközpontokban elszámolt fogyasztás költsége:</t>
  </si>
  <si>
    <t>Keletkapu IV.</t>
  </si>
  <si>
    <t>Vörösmarty út 4.</t>
  </si>
  <si>
    <t>31</t>
  </si>
  <si>
    <t>Vörösmarty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</si>
</sst>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#,##0.00\ &quot;Ft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indexed="8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9">
    <xf numFmtId="0" fontId="0" fillId="0" borderId="0" xfId="0"/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5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1" fontId="0" fillId="2" borderId="6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3" fontId="8" fillId="2" borderId="7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vertical="center"/>
    </xf>
    <xf numFmtId="1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vertical="center"/>
    </xf>
    <xf numFmtId="0" fontId="0" fillId="2" borderId="3" xfId="0" applyFill="1" applyBorder="1"/>
    <xf numFmtId="1" fontId="0" fillId="2" borderId="9" xfId="0" applyNumberFormat="1" applyFill="1" applyBorder="1" applyAlignment="1">
      <alignment vertical="center"/>
    </xf>
    <xf numFmtId="3" fontId="0" fillId="2" borderId="9" xfId="0" applyNumberFormat="1" applyFill="1" applyBorder="1" applyAlignment="1">
      <alignment vertical="center"/>
    </xf>
    <xf numFmtId="0" fontId="0" fillId="2" borderId="9" xfId="0" applyFill="1" applyBorder="1"/>
    <xf numFmtId="0" fontId="17" fillId="2" borderId="0" xfId="0" applyFont="1" applyFill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0" fontId="0" fillId="3" borderId="0" xfId="0" applyFill="1" applyBorder="1"/>
    <xf numFmtId="3" fontId="0" fillId="3" borderId="0" xfId="0" applyNumberFormat="1" applyFill="1" applyBorder="1" applyAlignment="1">
      <alignment vertical="center"/>
    </xf>
    <xf numFmtId="164" fontId="0" fillId="3" borderId="0" xfId="0" applyNumberFormat="1" applyFill="1"/>
    <xf numFmtId="0" fontId="9" fillId="3" borderId="0" xfId="0" applyFont="1" applyFill="1" applyBorder="1" applyAlignment="1">
      <alignment horizontal="center" vertical="center" wrapText="1"/>
    </xf>
    <xf numFmtId="0" fontId="0" fillId="2" borderId="2" xfId="0" applyFill="1" applyBorder="1"/>
    <xf numFmtId="3" fontId="0" fillId="2" borderId="3" xfId="0" applyNumberFormat="1" applyFill="1" applyBorder="1"/>
    <xf numFmtId="0" fontId="0" fillId="3" borderId="0" xfId="0" applyFill="1" applyAlignment="1">
      <alignment vertical="center"/>
    </xf>
    <xf numFmtId="49" fontId="3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164" fontId="0" fillId="2" borderId="6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2" borderId="1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49" fontId="5" fillId="3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>
      <alignment vertical="center" wrapText="1"/>
    </xf>
    <xf numFmtId="49" fontId="16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9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25" fillId="3" borderId="0" xfId="0" applyFont="1" applyFill="1" applyAlignment="1">
      <alignment horizontal="left" vertical="center"/>
    </xf>
    <xf numFmtId="49" fontId="27" fillId="2" borderId="11" xfId="0" applyNumberFormat="1" applyFont="1" applyFill="1" applyBorder="1" applyAlignment="1">
      <alignment horizontal="center" vertical="top" wrapText="1"/>
    </xf>
    <xf numFmtId="49" fontId="27" fillId="2" borderId="12" xfId="0" applyNumberFormat="1" applyFont="1" applyFill="1" applyBorder="1" applyAlignment="1">
      <alignment horizontal="center" vertical="top" wrapText="1"/>
    </xf>
    <xf numFmtId="0" fontId="28" fillId="3" borderId="0" xfId="0" applyFont="1" applyFill="1" applyAlignment="1">
      <alignment vertical="top" wrapText="1"/>
    </xf>
    <xf numFmtId="0" fontId="25" fillId="3" borderId="0" xfId="0" applyFont="1" applyFill="1"/>
    <xf numFmtId="0" fontId="25" fillId="3" borderId="0" xfId="0" applyFont="1" applyFill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30" fillId="3" borderId="0" xfId="0" applyFont="1" applyFill="1"/>
    <xf numFmtId="1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/>
    <xf numFmtId="49" fontId="31" fillId="2" borderId="12" xfId="0" applyNumberFormat="1" applyFont="1" applyFill="1" applyBorder="1" applyAlignment="1">
      <alignment horizontal="center" vertical="top" wrapText="1"/>
    </xf>
    <xf numFmtId="3" fontId="0" fillId="3" borderId="0" xfId="0" applyNumberFormat="1" applyFill="1"/>
    <xf numFmtId="3" fontId="9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32" fillId="2" borderId="6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vertical="center"/>
    </xf>
    <xf numFmtId="1" fontId="0" fillId="2" borderId="3" xfId="0" applyNumberForma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/>
    </xf>
    <xf numFmtId="3" fontId="9" fillId="3" borderId="0" xfId="0" applyNumberFormat="1" applyFont="1" applyFill="1"/>
    <xf numFmtId="1" fontId="0" fillId="2" borderId="15" xfId="0" applyNumberFormat="1" applyFill="1" applyBorder="1" applyAlignment="1">
      <alignment vertical="center"/>
    </xf>
    <xf numFmtId="1" fontId="0" fillId="2" borderId="16" xfId="0" applyNumberFormat="1" applyFill="1" applyBorder="1" applyAlignment="1">
      <alignment vertical="center"/>
    </xf>
    <xf numFmtId="1" fontId="0" fillId="2" borderId="17" xfId="0" applyNumberFormat="1" applyFill="1" applyBorder="1" applyAlignment="1">
      <alignment vertical="center"/>
    </xf>
    <xf numFmtId="1" fontId="0" fillId="2" borderId="2" xfId="0" applyNumberFormat="1" applyFill="1" applyBorder="1" applyAlignment="1">
      <alignment vertical="center"/>
    </xf>
    <xf numFmtId="3" fontId="0" fillId="2" borderId="15" xfId="0" applyNumberFormat="1" applyFill="1" applyBorder="1" applyAlignment="1">
      <alignment vertical="center"/>
    </xf>
    <xf numFmtId="3" fontId="8" fillId="2" borderId="15" xfId="0" applyNumberFormat="1" applyFont="1" applyFill="1" applyBorder="1" applyAlignment="1">
      <alignment horizontal="right" vertical="center" wrapText="1"/>
    </xf>
    <xf numFmtId="3" fontId="0" fillId="2" borderId="18" xfId="0" applyNumberFormat="1" applyFill="1" applyBorder="1"/>
    <xf numFmtId="3" fontId="8" fillId="2" borderId="19" xfId="0" applyNumberFormat="1" applyFont="1" applyFill="1" applyBorder="1" applyAlignment="1">
      <alignment horizontal="right" vertical="center" wrapText="1"/>
    </xf>
    <xf numFmtId="0" fontId="9" fillId="2" borderId="19" xfId="0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3" fontId="8" fillId="2" borderId="21" xfId="0" applyNumberFormat="1" applyFont="1" applyFill="1" applyBorder="1" applyAlignment="1">
      <alignment horizontal="right" vertical="center" wrapText="1"/>
    </xf>
    <xf numFmtId="3" fontId="0" fillId="2" borderId="9" xfId="0" applyNumberFormat="1" applyFill="1" applyBorder="1"/>
    <xf numFmtId="0" fontId="0" fillId="3" borderId="22" xfId="0" applyFill="1" applyBorder="1"/>
    <xf numFmtId="3" fontId="8" fillId="2" borderId="23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/>
    <xf numFmtId="0" fontId="0" fillId="3" borderId="20" xfId="0" applyFill="1" applyBorder="1"/>
    <xf numFmtId="3" fontId="8" fillId="0" borderId="9" xfId="0" applyNumberFormat="1" applyFont="1" applyFill="1" applyBorder="1" applyAlignment="1">
      <alignment horizontal="right" vertical="center" wrapText="1"/>
    </xf>
    <xf numFmtId="3" fontId="0" fillId="0" borderId="9" xfId="0" applyNumberFormat="1" applyFill="1" applyBorder="1"/>
    <xf numFmtId="0" fontId="9" fillId="2" borderId="21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1" fillId="3" borderId="0" xfId="0" applyFont="1" applyFill="1" applyBorder="1"/>
    <xf numFmtId="0" fontId="1" fillId="2" borderId="21" xfId="0" applyFont="1" applyFill="1" applyBorder="1" applyAlignment="1">
      <alignment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9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vertical="center"/>
    </xf>
    <xf numFmtId="0" fontId="0" fillId="2" borderId="12" xfId="0" applyFill="1" applyBorder="1"/>
    <xf numFmtId="1" fontId="0" fillId="2" borderId="24" xfId="0" applyNumberForma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" fontId="0" fillId="2" borderId="12" xfId="0" applyNumberFormat="1" applyFill="1" applyBorder="1" applyAlignment="1">
      <alignment vertical="center"/>
    </xf>
    <xf numFmtId="3" fontId="0" fillId="2" borderId="12" xfId="0" applyNumberFormat="1" applyFill="1" applyBorder="1" applyAlignment="1">
      <alignment vertical="center"/>
    </xf>
    <xf numFmtId="3" fontId="8" fillId="2" borderId="12" xfId="0" applyNumberFormat="1" applyFont="1" applyFill="1" applyBorder="1" applyAlignment="1">
      <alignment horizontal="right" vertical="center" wrapText="1"/>
    </xf>
    <xf numFmtId="3" fontId="0" fillId="2" borderId="12" xfId="0" applyNumberFormat="1" applyFill="1" applyBorder="1"/>
    <xf numFmtId="0" fontId="0" fillId="3" borderId="26" xfId="0" applyFill="1" applyBorder="1"/>
    <xf numFmtId="1" fontId="1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1" fontId="1" fillId="2" borderId="24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vertical="center"/>
    </xf>
    <xf numFmtId="0" fontId="1" fillId="3" borderId="26" xfId="0" applyFont="1" applyFill="1" applyBorder="1"/>
    <xf numFmtId="0" fontId="9" fillId="2" borderId="25" xfId="0" applyFont="1" applyFill="1" applyBorder="1"/>
    <xf numFmtId="1" fontId="0" fillId="2" borderId="27" xfId="0" applyNumberFormat="1" applyFill="1" applyBorder="1" applyAlignment="1">
      <alignment vertical="center"/>
    </xf>
    <xf numFmtId="0" fontId="0" fillId="2" borderId="16" xfId="0" applyFill="1" applyBorder="1"/>
    <xf numFmtId="0" fontId="9" fillId="2" borderId="28" xfId="0" applyFont="1" applyFill="1" applyBorder="1" applyAlignment="1">
      <alignment vertical="center"/>
    </xf>
    <xf numFmtId="3" fontId="0" fillId="2" borderId="16" xfId="0" applyNumberFormat="1" applyFill="1" applyBorder="1" applyAlignment="1">
      <alignment vertical="center"/>
    </xf>
    <xf numFmtId="3" fontId="0" fillId="2" borderId="16" xfId="0" applyNumberFormat="1" applyFill="1" applyBorder="1"/>
    <xf numFmtId="3" fontId="8" fillId="2" borderId="16" xfId="0" applyNumberFormat="1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left"/>
    </xf>
    <xf numFmtId="0" fontId="25" fillId="3" borderId="0" xfId="0" applyFont="1" applyFill="1" applyBorder="1" applyAlignment="1">
      <alignment horizontal="center" vertical="top" wrapText="1"/>
    </xf>
    <xf numFmtId="3" fontId="0" fillId="2" borderId="29" xfId="0" applyNumberFormat="1" applyFill="1" applyBorder="1" applyAlignment="1">
      <alignment vertical="center"/>
    </xf>
    <xf numFmtId="49" fontId="15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vertical="center" wrapText="1"/>
    </xf>
    <xf numFmtId="164" fontId="0" fillId="0" borderId="3" xfId="0" applyNumberFormat="1" applyFill="1" applyBorder="1" applyAlignment="1">
      <alignment horizontal="center" vertical="center"/>
    </xf>
    <xf numFmtId="49" fontId="3" fillId="4" borderId="0" xfId="0" applyNumberFormat="1" applyFont="1" applyFill="1" applyAlignment="1">
      <alignment vertical="center" wrapText="1"/>
    </xf>
    <xf numFmtId="49" fontId="4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3" fontId="32" fillId="0" borderId="3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top" wrapText="1"/>
    </xf>
    <xf numFmtId="49" fontId="31" fillId="0" borderId="12" xfId="0" applyNumberFormat="1" applyFont="1" applyFill="1" applyBorder="1" applyAlignment="1">
      <alignment horizontal="center" vertical="top" wrapText="1"/>
    </xf>
    <xf numFmtId="49" fontId="31" fillId="0" borderId="31" xfId="0" applyNumberFormat="1" applyFont="1" applyFill="1" applyBorder="1" applyAlignment="1">
      <alignment horizontal="center" vertical="top" wrapText="1"/>
    </xf>
    <xf numFmtId="49" fontId="27" fillId="0" borderId="31" xfId="0" applyNumberFormat="1" applyFont="1" applyFill="1" applyBorder="1" applyAlignment="1">
      <alignment horizontal="center" vertical="top" wrapText="1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/>
    <xf numFmtId="3" fontId="0" fillId="0" borderId="3" xfId="0" applyNumberFormat="1" applyFill="1" applyBorder="1" applyAlignment="1">
      <alignment vertical="center"/>
    </xf>
    <xf numFmtId="0" fontId="0" fillId="0" borderId="30" xfId="0" applyFill="1" applyBorder="1" applyAlignment="1"/>
    <xf numFmtId="0" fontId="0" fillId="0" borderId="3" xfId="0" applyFill="1" applyBorder="1"/>
    <xf numFmtId="0" fontId="0" fillId="0" borderId="32" xfId="0" applyFill="1" applyBorder="1" applyAlignment="1"/>
    <xf numFmtId="0" fontId="0" fillId="0" borderId="9" xfId="0" applyFill="1" applyBorder="1"/>
    <xf numFmtId="0" fontId="0" fillId="0" borderId="3" xfId="0" applyFill="1" applyBorder="1" applyAlignment="1"/>
    <xf numFmtId="0" fontId="0" fillId="0" borderId="9" xfId="0" applyFill="1" applyBorder="1" applyAlignment="1"/>
    <xf numFmtId="0" fontId="0" fillId="0" borderId="2" xfId="0" applyFill="1" applyBorder="1" applyAlignment="1">
      <alignment horizontal="right"/>
    </xf>
    <xf numFmtId="0" fontId="9" fillId="0" borderId="19" xfId="0" applyFont="1" applyFill="1" applyBorder="1" applyAlignment="1">
      <alignment vertical="center"/>
    </xf>
    <xf numFmtId="0" fontId="0" fillId="0" borderId="30" xfId="0" applyFill="1" applyBorder="1"/>
    <xf numFmtId="0" fontId="0" fillId="0" borderId="32" xfId="0" applyFill="1" applyBorder="1"/>
    <xf numFmtId="0" fontId="0" fillId="0" borderId="33" xfId="0" applyFill="1" applyBorder="1"/>
    <xf numFmtId="3" fontId="0" fillId="0" borderId="33" xfId="0" applyNumberFormat="1" applyFill="1" applyBorder="1" applyAlignment="1">
      <alignment vertical="center"/>
    </xf>
    <xf numFmtId="1" fontId="0" fillId="0" borderId="3" xfId="0" applyNumberFormat="1" applyFill="1" applyBorder="1" applyAlignment="1">
      <alignment horizontal="left" vertical="center"/>
    </xf>
    <xf numFmtId="0" fontId="0" fillId="0" borderId="33" xfId="0" applyFill="1" applyBorder="1" applyAlignment="1"/>
    <xf numFmtId="0" fontId="2" fillId="0" borderId="34" xfId="0" applyFont="1" applyFill="1" applyBorder="1" applyAlignment="1">
      <alignment horizontal="left" vertical="center"/>
    </xf>
    <xf numFmtId="0" fontId="0" fillId="0" borderId="35" xfId="0" applyFill="1" applyBorder="1" applyAlignment="1">
      <alignment vertical="center"/>
    </xf>
    <xf numFmtId="0" fontId="0" fillId="0" borderId="24" xfId="0" applyFill="1" applyBorder="1"/>
    <xf numFmtId="3" fontId="0" fillId="0" borderId="24" xfId="0" applyNumberFormat="1" applyFill="1" applyBorder="1" applyAlignment="1">
      <alignment vertical="center"/>
    </xf>
    <xf numFmtId="0" fontId="1" fillId="0" borderId="24" xfId="0" applyFont="1" applyFill="1" applyBorder="1"/>
    <xf numFmtId="3" fontId="0" fillId="0" borderId="24" xfId="0" applyNumberFormat="1" applyFill="1" applyBorder="1"/>
    <xf numFmtId="0" fontId="0" fillId="0" borderId="17" xfId="0" applyFill="1" applyBorder="1"/>
    <xf numFmtId="3" fontId="0" fillId="0" borderId="2" xfId="0" applyNumberFormat="1" applyFill="1" applyBorder="1" applyAlignment="1"/>
    <xf numFmtId="0" fontId="0" fillId="0" borderId="0" xfId="0" applyFill="1"/>
    <xf numFmtId="3" fontId="0" fillId="0" borderId="6" xfId="0" applyNumberForma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0" fontId="0" fillId="0" borderId="0" xfId="0" applyFill="1" applyBorder="1"/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/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1" fontId="0" fillId="0" borderId="15" xfId="0" applyNumberFormat="1" applyFill="1" applyBorder="1" applyAlignment="1">
      <alignment vertical="center"/>
    </xf>
    <xf numFmtId="1" fontId="0" fillId="0" borderId="3" xfId="0" applyNumberFormat="1" applyFill="1" applyBorder="1" applyAlignment="1">
      <alignment vertical="center"/>
    </xf>
    <xf numFmtId="1" fontId="0" fillId="0" borderId="9" xfId="0" applyNumberForma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1" fontId="0" fillId="0" borderId="9" xfId="0" applyNumberFormat="1" applyFill="1" applyBorder="1" applyAlignment="1">
      <alignment horizontal="right" vertical="center"/>
    </xf>
    <xf numFmtId="1" fontId="0" fillId="0" borderId="3" xfId="0" applyNumberFormat="1" applyFill="1" applyBorder="1" applyAlignment="1">
      <alignment horizontal="right" vertical="center"/>
    </xf>
    <xf numFmtId="1" fontId="0" fillId="0" borderId="2" xfId="0" applyNumberFormat="1" applyFill="1" applyBorder="1" applyAlignment="1">
      <alignment horizontal="right" vertical="center"/>
    </xf>
    <xf numFmtId="1" fontId="1" fillId="0" borderId="3" xfId="0" applyNumberFormat="1" applyFont="1" applyFill="1" applyBorder="1" applyAlignment="1">
      <alignment vertical="center"/>
    </xf>
    <xf numFmtId="1" fontId="0" fillId="0" borderId="12" xfId="0" applyNumberFormat="1" applyFill="1" applyBorder="1" applyAlignment="1">
      <alignment horizontal="right" vertical="center"/>
    </xf>
    <xf numFmtId="1" fontId="0" fillId="0" borderId="12" xfId="0" applyNumberFormat="1" applyFill="1" applyBorder="1" applyAlignment="1">
      <alignment vertical="center"/>
    </xf>
    <xf numFmtId="1" fontId="1" fillId="0" borderId="12" xfId="0" applyNumberFormat="1" applyFont="1" applyFill="1" applyBorder="1" applyAlignment="1">
      <alignment vertical="center"/>
    </xf>
    <xf numFmtId="166" fontId="9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1" fontId="0" fillId="2" borderId="3" xfId="0" applyNumberFormat="1" applyFont="1" applyFill="1" applyBorder="1" applyAlignment="1">
      <alignment horizontal="left" vertical="center"/>
    </xf>
    <xf numFmtId="0" fontId="9" fillId="5" borderId="8" xfId="0" applyFont="1" applyFill="1" applyBorder="1" applyAlignment="1">
      <alignment vertical="center"/>
    </xf>
    <xf numFmtId="1" fontId="0" fillId="2" borderId="3" xfId="0" applyNumberFormat="1" applyFill="1" applyBorder="1" applyAlignment="1">
      <alignment horizontal="right" vertical="center"/>
    </xf>
    <xf numFmtId="1" fontId="0" fillId="2" borderId="12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horizontal="left" vertical="center"/>
    </xf>
    <xf numFmtId="3" fontId="14" fillId="0" borderId="13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3" fontId="0" fillId="0" borderId="0" xfId="0" applyNumberFormat="1" applyFill="1" applyBorder="1"/>
    <xf numFmtId="3" fontId="32" fillId="4" borderId="0" xfId="0" applyNumberFormat="1" applyFont="1" applyFill="1" applyAlignment="1">
      <alignment vertical="center"/>
    </xf>
    <xf numFmtId="49" fontId="27" fillId="0" borderId="11" xfId="0" applyNumberFormat="1" applyFont="1" applyFill="1" applyBorder="1" applyAlignment="1">
      <alignment horizontal="center" vertical="top" wrapText="1"/>
    </xf>
    <xf numFmtId="3" fontId="9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horizontal="center" vertical="top" wrapText="1"/>
    </xf>
    <xf numFmtId="49" fontId="27" fillId="0" borderId="37" xfId="0" applyNumberFormat="1" applyFont="1" applyFill="1" applyBorder="1" applyAlignment="1">
      <alignment horizontal="center" vertical="top" wrapText="1"/>
    </xf>
    <xf numFmtId="49" fontId="27" fillId="0" borderId="15" xfId="0" applyNumberFormat="1" applyFont="1" applyFill="1" applyBorder="1" applyAlignment="1">
      <alignment horizontal="center" vertical="top" wrapText="1"/>
    </xf>
    <xf numFmtId="49" fontId="27" fillId="0" borderId="38" xfId="0" applyNumberFormat="1" applyFont="1" applyFill="1" applyBorder="1" applyAlignment="1">
      <alignment horizontal="center" vertical="top" wrapText="1"/>
    </xf>
    <xf numFmtId="49" fontId="31" fillId="0" borderId="15" xfId="0" applyNumberFormat="1" applyFont="1" applyFill="1" applyBorder="1" applyAlignment="1">
      <alignment horizontal="center" vertical="top" wrapText="1"/>
    </xf>
    <xf numFmtId="49" fontId="31" fillId="0" borderId="18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8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vertical="center"/>
    </xf>
    <xf numFmtId="1" fontId="0" fillId="0" borderId="16" xfId="0" applyNumberFormat="1" applyFill="1" applyBorder="1" applyAlignment="1">
      <alignment horizontal="right" vertical="center"/>
    </xf>
    <xf numFmtId="3" fontId="0" fillId="2" borderId="28" xfId="0" applyNumberFormat="1" applyFill="1" applyBorder="1"/>
    <xf numFmtId="0" fontId="0" fillId="0" borderId="29" xfId="0" applyFill="1" applyBorder="1" applyAlignment="1"/>
    <xf numFmtId="0" fontId="0" fillId="2" borderId="29" xfId="0" applyFill="1" applyBorder="1"/>
    <xf numFmtId="0" fontId="0" fillId="2" borderId="40" xfId="0" applyFill="1" applyBorder="1"/>
    <xf numFmtId="0" fontId="9" fillId="0" borderId="4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/>
    </xf>
    <xf numFmtId="1" fontId="2" fillId="2" borderId="12" xfId="0" applyNumberFormat="1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right" vertical="center"/>
    </xf>
    <xf numFmtId="1" fontId="0" fillId="2" borderId="24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2" fillId="0" borderId="13" xfId="0" applyFon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49" fontId="11" fillId="0" borderId="4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165" fontId="8" fillId="0" borderId="8" xfId="0" applyNumberFormat="1" applyFont="1" applyFill="1" applyBorder="1" applyAlignment="1">
      <alignment horizontal="right" vertical="center" wrapText="1"/>
    </xf>
    <xf numFmtId="49" fontId="11" fillId="0" borderId="5" xfId="0" applyNumberFormat="1" applyFont="1" applyFill="1" applyBorder="1" applyAlignment="1">
      <alignment vertical="center" wrapText="1"/>
    </xf>
    <xf numFmtId="3" fontId="8" fillId="0" borderId="14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/>
    <xf numFmtId="1" fontId="2" fillId="2" borderId="3" xfId="0" applyNumberFormat="1" applyFont="1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/>
    </xf>
    <xf numFmtId="1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0" fontId="1" fillId="2" borderId="13" xfId="0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vertical="center"/>
    </xf>
    <xf numFmtId="1" fontId="0" fillId="2" borderId="29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1" fontId="0" fillId="2" borderId="29" xfId="0" applyNumberFormat="1" applyFill="1" applyBorder="1" applyAlignment="1">
      <alignment vertical="center"/>
    </xf>
    <xf numFmtId="1" fontId="0" fillId="2" borderId="0" xfId="0" applyNumberFormat="1" applyFill="1" applyBorder="1" applyAlignment="1">
      <alignment horizontal="left" vertical="center"/>
    </xf>
    <xf numFmtId="1" fontId="0" fillId="0" borderId="29" xfId="0" applyNumberFormat="1" applyFill="1" applyBorder="1" applyAlignment="1">
      <alignment horizontal="left" vertical="center"/>
    </xf>
    <xf numFmtId="1" fontId="0" fillId="0" borderId="29" xfId="0" applyNumberForma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1" fontId="0" fillId="0" borderId="42" xfId="0" applyNumberFormat="1" applyFill="1" applyBorder="1" applyAlignment="1">
      <alignment horizontal="center" vertical="center"/>
    </xf>
    <xf numFmtId="3" fontId="32" fillId="0" borderId="29" xfId="0" applyNumberFormat="1" applyFont="1" applyFill="1" applyBorder="1" applyAlignment="1">
      <alignment horizontal="center"/>
    </xf>
    <xf numFmtId="164" fontId="0" fillId="0" borderId="29" xfId="0" applyNumberForma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/>
    </xf>
    <xf numFmtId="3" fontId="8" fillId="0" borderId="3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/>
    </xf>
    <xf numFmtId="1" fontId="0" fillId="2" borderId="38" xfId="0" applyNumberForma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1" fontId="2" fillId="2" borderId="15" xfId="0" applyNumberFormat="1" applyFont="1" applyFill="1" applyBorder="1" applyAlignment="1">
      <alignment horizontal="left" vertical="center"/>
    </xf>
    <xf numFmtId="3" fontId="0" fillId="2" borderId="15" xfId="0" applyNumberFormat="1" applyFill="1" applyBorder="1"/>
    <xf numFmtId="0" fontId="0" fillId="0" borderId="38" xfId="0" applyFill="1" applyBorder="1"/>
    <xf numFmtId="0" fontId="0" fillId="2" borderId="15" xfId="0" applyFill="1" applyBorder="1"/>
    <xf numFmtId="0" fontId="9" fillId="0" borderId="18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left" vertical="center"/>
    </xf>
    <xf numFmtId="0" fontId="0" fillId="2" borderId="29" xfId="0" applyFill="1" applyBorder="1" applyAlignment="1">
      <alignment horizontal="right" vertical="center"/>
    </xf>
    <xf numFmtId="164" fontId="0" fillId="2" borderId="29" xfId="0" applyNumberForma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1" fontId="0" fillId="2" borderId="27" xfId="0" applyNumberForma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center"/>
    </xf>
    <xf numFmtId="3" fontId="9" fillId="0" borderId="4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" fontId="0" fillId="3" borderId="0" xfId="0" applyNumberFormat="1" applyFill="1" applyBorder="1"/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3" fontId="0" fillId="0" borderId="0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2" borderId="0" xfId="0" applyFill="1" applyBorder="1"/>
    <xf numFmtId="49" fontId="3" fillId="0" borderId="3" xfId="0" applyNumberFormat="1" applyFont="1" applyFill="1" applyBorder="1" applyAlignment="1">
      <alignment vertical="center" wrapText="1"/>
    </xf>
    <xf numFmtId="3" fontId="32" fillId="0" borderId="3" xfId="0" applyNumberFormat="1" applyFont="1" applyFill="1" applyBorder="1" applyAlignment="1">
      <alignment vertical="center"/>
    </xf>
    <xf numFmtId="3" fontId="32" fillId="0" borderId="3" xfId="0" applyNumberFormat="1" applyFont="1" applyFill="1" applyBorder="1" applyAlignment="1">
      <alignment horizontal="center" vertical="center"/>
    </xf>
    <xf numFmtId="3" fontId="0" fillId="0" borderId="16" xfId="0" applyNumberFormat="1" applyFill="1" applyBorder="1" applyAlignment="1">
      <alignment vertical="center"/>
    </xf>
    <xf numFmtId="1" fontId="0" fillId="2" borderId="29" xfId="0" applyNumberFormat="1" applyFill="1" applyBorder="1" applyAlignment="1">
      <alignment horizontal="right" vertical="center"/>
    </xf>
    <xf numFmtId="0" fontId="1" fillId="2" borderId="43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right" vertical="center"/>
    </xf>
    <xf numFmtId="1" fontId="2" fillId="2" borderId="29" xfId="0" applyNumberFormat="1" applyFont="1" applyFill="1" applyBorder="1" applyAlignment="1">
      <alignment horizontal="left" vertical="center"/>
    </xf>
    <xf numFmtId="1" fontId="1" fillId="2" borderId="29" xfId="0" applyNumberFormat="1" applyFont="1" applyFill="1" applyBorder="1" applyAlignment="1">
      <alignment horizontal="left" vertical="center"/>
    </xf>
    <xf numFmtId="0" fontId="0" fillId="0" borderId="29" xfId="0" applyFill="1" applyBorder="1"/>
    <xf numFmtId="0" fontId="9" fillId="0" borderId="3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/>
    </xf>
    <xf numFmtId="3" fontId="0" fillId="0" borderId="9" xfId="0" applyNumberFormat="1" applyFill="1" applyBorder="1" applyAlignment="1">
      <alignment horizontal="left"/>
    </xf>
    <xf numFmtId="0" fontId="9" fillId="0" borderId="9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vertical="center"/>
    </xf>
    <xf numFmtId="3" fontId="0" fillId="3" borderId="0" xfId="0" applyNumberFormat="1" applyFill="1" applyAlignment="1">
      <alignment vertical="center"/>
    </xf>
    <xf numFmtId="3" fontId="32" fillId="3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1" fontId="0" fillId="2" borderId="3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left" vertical="center"/>
    </xf>
    <xf numFmtId="1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2" borderId="30" xfId="0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vertical="center" wrapText="1"/>
    </xf>
    <xf numFmtId="3" fontId="1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" fontId="3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49" fontId="3" fillId="0" borderId="22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8" fillId="0" borderId="4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" fontId="0" fillId="2" borderId="29" xfId="0" applyNumberForma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" fontId="0" fillId="2" borderId="6" xfId="0" applyNumberForma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49" fontId="11" fillId="2" borderId="4" xfId="0" applyNumberFormat="1" applyFont="1" applyFill="1" applyBorder="1" applyAlignment="1">
      <alignment vertical="center" wrapText="1"/>
    </xf>
    <xf numFmtId="1" fontId="0" fillId="2" borderId="3" xfId="0" applyNumberFormat="1" applyFill="1" applyBorder="1" applyAlignment="1">
      <alignment vertical="center"/>
    </xf>
    <xf numFmtId="49" fontId="11" fillId="2" borderId="43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1" fontId="0" fillId="2" borderId="29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" fontId="0" fillId="2" borderId="6" xfId="0" applyNumberForma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9" fillId="2" borderId="42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" fontId="0" fillId="2" borderId="29" xfId="0" applyNumberForma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vertical="center" wrapText="1"/>
    </xf>
    <xf numFmtId="1" fontId="0" fillId="2" borderId="2" xfId="0" applyNumberFormat="1" applyFill="1" applyBorder="1" applyAlignment="1">
      <alignment vertical="center"/>
    </xf>
    <xf numFmtId="1" fontId="0" fillId="2" borderId="9" xfId="0" applyNumberFormat="1" applyFill="1" applyBorder="1" applyAlignment="1">
      <alignment vertical="center"/>
    </xf>
    <xf numFmtId="1" fontId="0" fillId="2" borderId="33" xfId="0" applyNumberFormat="1" applyFill="1" applyBorder="1" applyAlignment="1">
      <alignment vertical="center"/>
    </xf>
    <xf numFmtId="1" fontId="0" fillId="2" borderId="30" xfId="0" applyNumberFormat="1" applyFill="1" applyBorder="1" applyAlignment="1">
      <alignment vertical="center"/>
    </xf>
    <xf numFmtId="1" fontId="0" fillId="2" borderId="32" xfId="0" applyNumberFormat="1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" fontId="0" fillId="2" borderId="15" xfId="0" applyNumberFormat="1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1" fontId="0" fillId="2" borderId="38" xfId="0" applyNumberForma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49" fontId="11" fillId="2" borderId="37" xfId="0" applyNumberFormat="1" applyFon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49" fontId="9" fillId="2" borderId="37" xfId="0" applyNumberFormat="1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/>
    <xf numFmtId="0" fontId="9" fillId="2" borderId="22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43" xfId="0" applyFill="1" applyBorder="1" applyAlignment="1">
      <alignment horizontal="left" vertical="center"/>
    </xf>
    <xf numFmtId="0" fontId="0" fillId="2" borderId="29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0" fontId="0" fillId="2" borderId="16" xfId="0" applyFill="1" applyBorder="1" applyAlignment="1">
      <alignment vertical="center"/>
    </xf>
    <xf numFmtId="49" fontId="9" fillId="2" borderId="37" xfId="0" applyNumberFormat="1" applyFont="1" applyFill="1" applyBorder="1" applyAlignment="1">
      <alignment horizontal="left" vertical="center"/>
    </xf>
    <xf numFmtId="49" fontId="9" fillId="2" borderId="27" xfId="0" applyNumberFormat="1" applyFont="1" applyFill="1" applyBorder="1" applyAlignment="1">
      <alignment horizontal="left" vertical="center"/>
    </xf>
    <xf numFmtId="49" fontId="9" fillId="2" borderId="34" xfId="0" applyNumberFormat="1" applyFon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left" vertical="center"/>
    </xf>
    <xf numFmtId="1" fontId="0" fillId="2" borderId="16" xfId="0" applyNumberFormat="1" applyFill="1" applyBorder="1" applyAlignment="1">
      <alignment horizontal="left" vertical="center"/>
    </xf>
    <xf numFmtId="1" fontId="0" fillId="2" borderId="36" xfId="0" applyNumberForma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right" vertical="center"/>
    </xf>
    <xf numFmtId="1" fontId="0" fillId="2" borderId="36" xfId="0" applyNumberForma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942975</xdr:colOff>
      <xdr:row>1</xdr:row>
      <xdr:rowOff>381000</xdr:rowOff>
    </xdr:to>
    <xdr:pic>
      <xdr:nvPicPr>
        <xdr:cNvPr id="1203" name="Picture 1" descr="tszolg2embléma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1152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171450</xdr:colOff>
      <xdr:row>0</xdr:row>
      <xdr:rowOff>542925</xdr:rowOff>
    </xdr:to>
    <xdr:pic>
      <xdr:nvPicPr>
        <xdr:cNvPr id="10433" name="Picture 1" descr="tszolg2embléma">
          <a:extLst>
            <a:ext uri="{FF2B5EF4-FFF2-40B4-BE49-F238E27FC236}">
              <a16:creationId xmlns:a16="http://schemas.microsoft.com/office/drawing/2014/main" id="{00000000-0008-0000-0900-0000C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161925</xdr:colOff>
      <xdr:row>1</xdr:row>
      <xdr:rowOff>28575</xdr:rowOff>
    </xdr:to>
    <xdr:pic>
      <xdr:nvPicPr>
        <xdr:cNvPr id="11443" name="Picture 1" descr="tszolg2embléma">
          <a:extLst>
            <a:ext uri="{FF2B5EF4-FFF2-40B4-BE49-F238E27FC236}">
              <a16:creationId xmlns:a16="http://schemas.microsoft.com/office/drawing/2014/main" id="{00000000-0008-0000-0A00-0000B3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1</xdr:row>
      <xdr:rowOff>114300</xdr:rowOff>
    </xdr:to>
    <xdr:pic>
      <xdr:nvPicPr>
        <xdr:cNvPr id="2227" name="Picture 1" descr="tszolg2embléma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0</xdr:row>
      <xdr:rowOff>542925</xdr:rowOff>
    </xdr:to>
    <xdr:pic>
      <xdr:nvPicPr>
        <xdr:cNvPr id="3251" name="Picture 1" descr="tszolg2embléma">
          <a:extLst>
            <a:ext uri="{FF2B5EF4-FFF2-40B4-BE49-F238E27FC236}">
              <a16:creationId xmlns:a16="http://schemas.microsoft.com/office/drawing/2014/main" id="{00000000-0008-0000-0200-0000B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533400</xdr:rowOff>
    </xdr:to>
    <xdr:pic>
      <xdr:nvPicPr>
        <xdr:cNvPr id="4275" name="Picture 1" descr="tszolg2embléma">
          <a:extLst>
            <a:ext uri="{FF2B5EF4-FFF2-40B4-BE49-F238E27FC236}">
              <a16:creationId xmlns:a16="http://schemas.microsoft.com/office/drawing/2014/main" id="{00000000-0008-0000-03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514350</xdr:rowOff>
    </xdr:to>
    <xdr:pic>
      <xdr:nvPicPr>
        <xdr:cNvPr id="5299" name="Picture 1" descr="tszolg2embléma">
          <a:extLst>
            <a:ext uri="{FF2B5EF4-FFF2-40B4-BE49-F238E27FC236}">
              <a16:creationId xmlns:a16="http://schemas.microsoft.com/office/drawing/2014/main" id="{00000000-0008-0000-0400-0000B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6323" name="Picture 1" descr="tszolg2embléma">
          <a:extLst>
            <a:ext uri="{FF2B5EF4-FFF2-40B4-BE49-F238E27FC236}">
              <a16:creationId xmlns:a16="http://schemas.microsoft.com/office/drawing/2014/main" id="{00000000-0008-0000-05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7347" name="Picture 1" descr="tszolg2embléma">
          <a:extLst>
            <a:ext uri="{FF2B5EF4-FFF2-40B4-BE49-F238E27FC236}">
              <a16:creationId xmlns:a16="http://schemas.microsoft.com/office/drawing/2014/main" id="{00000000-0008-0000-0600-0000B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666750</xdr:colOff>
      <xdr:row>0</xdr:row>
      <xdr:rowOff>504825</xdr:rowOff>
    </xdr:to>
    <xdr:pic>
      <xdr:nvPicPr>
        <xdr:cNvPr id="8375" name="Picture 1" descr="tszolg2embléma">
          <a:extLst>
            <a:ext uri="{FF2B5EF4-FFF2-40B4-BE49-F238E27FC236}">
              <a16:creationId xmlns:a16="http://schemas.microsoft.com/office/drawing/2014/main" id="{00000000-0008-0000-0700-0000B7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28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9396" name="Picture 1" descr="tszolg2embléma">
          <a:extLst>
            <a:ext uri="{FF2B5EF4-FFF2-40B4-BE49-F238E27FC236}">
              <a16:creationId xmlns:a16="http://schemas.microsoft.com/office/drawing/2014/main" id="{00000000-0008-0000-0800-0000B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BreakPreview" topLeftCell="A7" workbookViewId="0">
      <selection activeCell="B31" sqref="B31"/>
    </sheetView>
  </sheetViews>
  <sheetFormatPr defaultRowHeight="12.75" x14ac:dyDescent="0.2"/>
  <cols>
    <col min="1" max="1" width="4.140625" style="7" customWidth="1"/>
    <col min="2" max="2" width="51.140625" style="8" customWidth="1"/>
    <col min="3" max="3" width="9.140625" style="9"/>
    <col min="4" max="5" width="14.42578125" style="10" customWidth="1"/>
    <col min="6" max="16384" width="9.140625" style="1"/>
  </cols>
  <sheetData>
    <row r="1" spans="1:9" ht="30.75" customHeight="1" x14ac:dyDescent="0.2">
      <c r="A1" s="411" t="s">
        <v>344</v>
      </c>
      <c r="B1" s="412"/>
      <c r="C1" s="412"/>
      <c r="D1" s="412"/>
      <c r="E1" s="412"/>
    </row>
    <row r="2" spans="1:9" ht="33" customHeight="1" x14ac:dyDescent="0.2">
      <c r="A2" s="409" t="s">
        <v>345</v>
      </c>
      <c r="B2" s="410"/>
      <c r="C2" s="410"/>
      <c r="D2" s="410"/>
      <c r="E2" s="410"/>
    </row>
    <row r="3" spans="1:9" ht="36" customHeight="1" thickBot="1" x14ac:dyDescent="0.25">
      <c r="A3" s="407" t="s">
        <v>520</v>
      </c>
      <c r="B3" s="408"/>
      <c r="C3" s="408"/>
      <c r="D3" s="408"/>
      <c r="E3" s="408"/>
    </row>
    <row r="4" spans="1:9" s="4" customFormat="1" ht="32.25" customHeight="1" x14ac:dyDescent="0.2">
      <c r="A4" s="284" t="s">
        <v>0</v>
      </c>
      <c r="B4" s="285" t="s">
        <v>1</v>
      </c>
      <c r="C4" s="285" t="s">
        <v>2</v>
      </c>
      <c r="D4" s="286" t="s">
        <v>517</v>
      </c>
      <c r="E4" s="286" t="s">
        <v>518</v>
      </c>
    </row>
    <row r="5" spans="1:9" ht="27.95" customHeight="1" x14ac:dyDescent="0.2">
      <c r="A5" s="287" t="s">
        <v>3</v>
      </c>
      <c r="B5" s="171" t="s">
        <v>4</v>
      </c>
      <c r="C5" s="172" t="s">
        <v>5</v>
      </c>
      <c r="D5" s="288">
        <v>5.25</v>
      </c>
      <c r="E5" s="288">
        <v>6.61</v>
      </c>
    </row>
    <row r="6" spans="1:9" ht="27.95" customHeight="1" x14ac:dyDescent="0.2">
      <c r="A6" s="287" t="s">
        <v>6</v>
      </c>
      <c r="B6" s="171" t="s">
        <v>7</v>
      </c>
      <c r="C6" s="172" t="s">
        <v>8</v>
      </c>
      <c r="D6" s="289">
        <v>122580</v>
      </c>
      <c r="E6" s="289">
        <v>133203</v>
      </c>
    </row>
    <row r="7" spans="1:9" ht="32.25" customHeight="1" x14ac:dyDescent="0.2">
      <c r="A7" s="287" t="s">
        <v>9</v>
      </c>
      <c r="B7" s="171" t="s">
        <v>10</v>
      </c>
      <c r="C7" s="172" t="s">
        <v>8</v>
      </c>
      <c r="D7" s="289">
        <v>43980</v>
      </c>
      <c r="E7" s="289">
        <v>44042</v>
      </c>
      <c r="F7" s="111"/>
      <c r="G7" s="111"/>
    </row>
    <row r="8" spans="1:9" ht="27.95" customHeight="1" x14ac:dyDescent="0.2">
      <c r="A8" s="287" t="s">
        <v>11</v>
      </c>
      <c r="B8" s="171" t="s">
        <v>12</v>
      </c>
      <c r="C8" s="172" t="s">
        <v>8</v>
      </c>
      <c r="D8" s="289">
        <v>39674</v>
      </c>
      <c r="E8" s="289">
        <v>42232</v>
      </c>
    </row>
    <row r="9" spans="1:9" ht="27.95" customHeight="1" x14ac:dyDescent="0.2">
      <c r="A9" s="287" t="s">
        <v>13</v>
      </c>
      <c r="B9" s="171" t="s">
        <v>14</v>
      </c>
      <c r="C9" s="172" t="s">
        <v>15</v>
      </c>
      <c r="D9" s="289">
        <v>0</v>
      </c>
      <c r="E9" s="289">
        <v>0</v>
      </c>
    </row>
    <row r="10" spans="1:9" ht="38.25" customHeight="1" x14ac:dyDescent="0.2">
      <c r="A10" s="287" t="s">
        <v>16</v>
      </c>
      <c r="B10" s="171" t="s">
        <v>17</v>
      </c>
      <c r="C10" s="172" t="s">
        <v>347</v>
      </c>
      <c r="D10" s="290">
        <v>7.3803194419100049E-2</v>
      </c>
      <c r="E10" s="290">
        <v>8.2431865546515187E-2</v>
      </c>
    </row>
    <row r="11" spans="1:9" ht="36" customHeight="1" x14ac:dyDescent="0.2">
      <c r="A11" s="287" t="s">
        <v>18</v>
      </c>
      <c r="B11" s="171" t="s">
        <v>19</v>
      </c>
      <c r="C11" s="172" t="s">
        <v>347</v>
      </c>
      <c r="D11" s="290">
        <v>0.24984697104677944</v>
      </c>
      <c r="E11" s="290">
        <v>0.26905722492507489</v>
      </c>
      <c r="I11" s="405"/>
    </row>
    <row r="12" spans="1:9" ht="27.95" customHeight="1" x14ac:dyDescent="0.2">
      <c r="A12" s="287" t="s">
        <v>20</v>
      </c>
      <c r="B12" s="171" t="s">
        <v>351</v>
      </c>
      <c r="C12" s="172" t="s">
        <v>21</v>
      </c>
      <c r="D12" s="289">
        <v>186117</v>
      </c>
      <c r="E12" s="289">
        <v>187155</v>
      </c>
    </row>
    <row r="13" spans="1:9" ht="27.95" customHeight="1" x14ac:dyDescent="0.2">
      <c r="A13" s="287" t="s">
        <v>22</v>
      </c>
      <c r="B13" s="171" t="s">
        <v>23</v>
      </c>
      <c r="C13" s="172" t="s">
        <v>21</v>
      </c>
      <c r="D13" s="289">
        <v>341868</v>
      </c>
      <c r="E13" s="289">
        <v>372099</v>
      </c>
    </row>
    <row r="14" spans="1:9" ht="36.75" customHeight="1" x14ac:dyDescent="0.2">
      <c r="A14" s="287" t="s">
        <v>24</v>
      </c>
      <c r="B14" s="171" t="s">
        <v>25</v>
      </c>
      <c r="C14" s="172" t="s">
        <v>21</v>
      </c>
      <c r="D14" s="289">
        <v>119280</v>
      </c>
      <c r="E14" s="289">
        <v>131413</v>
      </c>
    </row>
    <row r="15" spans="1:9" ht="27.95" customHeight="1" x14ac:dyDescent="0.2">
      <c r="A15" s="287" t="s">
        <v>26</v>
      </c>
      <c r="B15" s="171" t="s">
        <v>352</v>
      </c>
      <c r="C15" s="172" t="s">
        <v>21</v>
      </c>
      <c r="D15" s="289">
        <v>114341</v>
      </c>
      <c r="E15" s="289">
        <v>114264</v>
      </c>
    </row>
    <row r="16" spans="1:9" ht="27.95" customHeight="1" x14ac:dyDescent="0.2">
      <c r="A16" s="287" t="s">
        <v>27</v>
      </c>
      <c r="B16" s="171" t="s">
        <v>28</v>
      </c>
      <c r="C16" s="172" t="s">
        <v>21</v>
      </c>
      <c r="D16" s="289">
        <v>150149</v>
      </c>
      <c r="E16" s="289">
        <v>162626</v>
      </c>
    </row>
    <row r="17" spans="1:8" ht="27.95" customHeight="1" x14ac:dyDescent="0.2">
      <c r="A17" s="287" t="s">
        <v>29</v>
      </c>
      <c r="B17" s="171" t="s">
        <v>30</v>
      </c>
      <c r="C17" s="172" t="s">
        <v>21</v>
      </c>
      <c r="D17" s="289" t="s">
        <v>341</v>
      </c>
      <c r="E17" s="289" t="s">
        <v>341</v>
      </c>
    </row>
    <row r="18" spans="1:8" ht="27.95" customHeight="1" x14ac:dyDescent="0.2">
      <c r="A18" s="287" t="s">
        <v>31</v>
      </c>
      <c r="B18" s="171" t="s">
        <v>32</v>
      </c>
      <c r="C18" s="172" t="s">
        <v>21</v>
      </c>
      <c r="D18" s="289" t="s">
        <v>341</v>
      </c>
      <c r="E18" s="289" t="s">
        <v>341</v>
      </c>
      <c r="H18" s="508"/>
    </row>
    <row r="19" spans="1:8" ht="27.95" customHeight="1" x14ac:dyDescent="0.2">
      <c r="A19" s="287" t="s">
        <v>33</v>
      </c>
      <c r="B19" s="171" t="s">
        <v>34</v>
      </c>
      <c r="C19" s="172" t="s">
        <v>21</v>
      </c>
      <c r="D19" s="289">
        <v>470210</v>
      </c>
      <c r="E19" s="289">
        <v>559102</v>
      </c>
    </row>
    <row r="20" spans="1:8" ht="27.95" customHeight="1" x14ac:dyDescent="0.2">
      <c r="A20" s="287" t="s">
        <v>35</v>
      </c>
      <c r="B20" s="171" t="s">
        <v>36</v>
      </c>
      <c r="C20" s="172" t="s">
        <v>21</v>
      </c>
      <c r="D20" s="289" t="s">
        <v>341</v>
      </c>
      <c r="E20" s="289" t="s">
        <v>341</v>
      </c>
    </row>
    <row r="21" spans="1:8" ht="27.95" customHeight="1" x14ac:dyDescent="0.2">
      <c r="A21" s="287" t="s">
        <v>37</v>
      </c>
      <c r="B21" s="171" t="s">
        <v>38</v>
      </c>
      <c r="C21" s="172" t="s">
        <v>21</v>
      </c>
      <c r="D21" s="289" t="s">
        <v>341</v>
      </c>
      <c r="E21" s="289" t="s">
        <v>341</v>
      </c>
    </row>
    <row r="22" spans="1:8" ht="27.95" customHeight="1" x14ac:dyDescent="0.2">
      <c r="A22" s="287" t="s">
        <v>39</v>
      </c>
      <c r="B22" s="171" t="s">
        <v>40</v>
      </c>
      <c r="C22" s="172" t="s">
        <v>21</v>
      </c>
      <c r="D22" s="289">
        <v>113279</v>
      </c>
      <c r="E22" s="289">
        <v>115300</v>
      </c>
    </row>
    <row r="23" spans="1:8" ht="27.95" customHeight="1" thickBot="1" x14ac:dyDescent="0.25">
      <c r="A23" s="291" t="s">
        <v>41</v>
      </c>
      <c r="B23" s="177" t="s">
        <v>42</v>
      </c>
      <c r="C23" s="178" t="s">
        <v>21</v>
      </c>
      <c r="D23" s="292">
        <v>1495244</v>
      </c>
      <c r="E23" s="292">
        <f>SUM(E12:E22)</f>
        <v>1641959</v>
      </c>
    </row>
  </sheetData>
  <mergeCells count="3">
    <mergeCell ref="A3:E3"/>
    <mergeCell ref="A2:E2"/>
    <mergeCell ref="A1:E1"/>
  </mergeCells>
  <phoneticPr fontId="6" type="noConversion"/>
  <printOptions horizontalCentered="1"/>
  <pageMargins left="0.55118110236220474" right="0.43307086614173229" top="0.59055118110236227" bottom="0.7086614173228347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40"/>
  <sheetViews>
    <sheetView view="pageBreakPreview" workbookViewId="0">
      <pane xSplit="2" ySplit="3" topLeftCell="C103" activePane="bottomRight" state="frozen"/>
      <selection pane="topRight" activeCell="C1" sqref="C1"/>
      <selection pane="bottomLeft" activeCell="A4" sqref="A4"/>
      <selection pane="bottomRight" activeCell="A62" sqref="A62:A64"/>
    </sheetView>
  </sheetViews>
  <sheetFormatPr defaultRowHeight="12.75" x14ac:dyDescent="0.2"/>
  <cols>
    <col min="1" max="1" width="10.140625" style="32" customWidth="1"/>
    <col min="2" max="2" width="10.140625" style="31" customWidth="1"/>
    <col min="3" max="3" width="16.28515625" style="31" customWidth="1"/>
    <col min="4" max="4" width="20.5703125" style="31" customWidth="1"/>
    <col min="5" max="5" width="13.7109375" style="217" customWidth="1"/>
    <col min="6" max="6" width="13.85546875" style="221" customWidth="1"/>
    <col min="7" max="7" width="12.28515625" style="221" customWidth="1"/>
    <col min="8" max="8" width="20.7109375" style="35" customWidth="1"/>
    <col min="9" max="9" width="13.85546875" style="31" customWidth="1"/>
    <col min="10" max="10" width="14.140625" style="32" customWidth="1"/>
    <col min="11" max="16384" width="9.140625" style="31"/>
  </cols>
  <sheetData>
    <row r="1" spans="1:11" ht="43.5" customHeight="1" x14ac:dyDescent="0.2">
      <c r="A1" s="439" t="s">
        <v>310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1" s="65" customFormat="1" ht="19.5" customHeight="1" thickBot="1" x14ac:dyDescent="0.25">
      <c r="A2" s="440" t="s">
        <v>526</v>
      </c>
      <c r="B2" s="441"/>
      <c r="C2" s="441"/>
      <c r="D2" s="441"/>
      <c r="E2" s="441"/>
      <c r="F2" s="441"/>
      <c r="G2" s="441"/>
      <c r="H2" s="441"/>
      <c r="I2" s="441"/>
      <c r="J2" s="441"/>
    </row>
    <row r="3" spans="1:11" s="93" customFormat="1" ht="84.75" customHeight="1" thickBot="1" x14ac:dyDescent="0.25">
      <c r="A3" s="254" t="s">
        <v>311</v>
      </c>
      <c r="B3" s="188" t="s">
        <v>311</v>
      </c>
      <c r="C3" s="188" t="s">
        <v>312</v>
      </c>
      <c r="D3" s="188" t="s">
        <v>372</v>
      </c>
      <c r="E3" s="188" t="s">
        <v>484</v>
      </c>
      <c r="F3" s="188" t="s">
        <v>485</v>
      </c>
      <c r="G3" s="188" t="s">
        <v>313</v>
      </c>
      <c r="H3" s="257" t="s">
        <v>321</v>
      </c>
      <c r="I3" s="188" t="s">
        <v>319</v>
      </c>
      <c r="J3" s="191" t="s">
        <v>320</v>
      </c>
    </row>
    <row r="4" spans="1:11" x14ac:dyDescent="0.2">
      <c r="A4" s="442" t="s">
        <v>133</v>
      </c>
      <c r="B4" s="444" t="s">
        <v>224</v>
      </c>
      <c r="C4" s="17" t="s">
        <v>221</v>
      </c>
      <c r="D4" s="17" t="s">
        <v>446</v>
      </c>
      <c r="E4" s="452">
        <v>1542</v>
      </c>
      <c r="F4" s="218">
        <v>930.39</v>
      </c>
      <c r="G4" s="218">
        <v>7700</v>
      </c>
      <c r="H4" s="23">
        <f>+F4/G4</f>
        <v>0.12082987012987013</v>
      </c>
      <c r="I4" s="18"/>
      <c r="J4" s="19">
        <v>60</v>
      </c>
      <c r="K4" s="110"/>
    </row>
    <row r="5" spans="1:11" x14ac:dyDescent="0.2">
      <c r="A5" s="443"/>
      <c r="B5" s="445"/>
      <c r="C5" s="21" t="s">
        <v>222</v>
      </c>
      <c r="D5" s="308" t="s">
        <v>496</v>
      </c>
      <c r="E5" s="434"/>
      <c r="F5" s="194">
        <v>867.91</v>
      </c>
      <c r="G5" s="194">
        <v>3850</v>
      </c>
      <c r="H5" s="23">
        <f>+F5/G5</f>
        <v>0.22543116883116882</v>
      </c>
      <c r="I5" s="20"/>
      <c r="J5" s="24">
        <v>30</v>
      </c>
      <c r="K5" s="110"/>
    </row>
    <row r="6" spans="1:11" x14ac:dyDescent="0.2">
      <c r="A6" s="443"/>
      <c r="B6" s="445"/>
      <c r="C6" s="21" t="s">
        <v>223</v>
      </c>
      <c r="D6" s="308" t="s">
        <v>497</v>
      </c>
      <c r="E6" s="434"/>
      <c r="F6" s="194">
        <v>1964.08</v>
      </c>
      <c r="G6" s="194">
        <v>7700</v>
      </c>
      <c r="H6" s="23">
        <f>+F6/G6</f>
        <v>0.25507532467532468</v>
      </c>
      <c r="I6" s="20"/>
      <c r="J6" s="24">
        <v>60</v>
      </c>
    </row>
    <row r="7" spans="1:11" x14ac:dyDescent="0.2">
      <c r="A7" s="443"/>
      <c r="B7" s="445"/>
      <c r="C7" s="21" t="s">
        <v>224</v>
      </c>
      <c r="D7" s="21" t="s">
        <v>449</v>
      </c>
      <c r="E7" s="434"/>
      <c r="F7" s="194">
        <v>1914.62</v>
      </c>
      <c r="G7" s="194">
        <v>7815</v>
      </c>
      <c r="H7" s="23">
        <f>+F7/G7</f>
        <v>0.24499296225207931</v>
      </c>
      <c r="I7" s="305"/>
      <c r="J7" s="24">
        <v>60</v>
      </c>
    </row>
    <row r="8" spans="1:11" x14ac:dyDescent="0.2">
      <c r="A8" s="446" t="s">
        <v>132</v>
      </c>
      <c r="B8" s="447" t="s">
        <v>225</v>
      </c>
      <c r="C8" s="21" t="s">
        <v>225</v>
      </c>
      <c r="D8" s="21" t="s">
        <v>450</v>
      </c>
      <c r="E8" s="433">
        <v>1572</v>
      </c>
      <c r="F8" s="194">
        <v>2013.37</v>
      </c>
      <c r="G8" s="194">
        <v>7700</v>
      </c>
      <c r="H8" s="23">
        <f>+F8/G8</f>
        <v>0.26147662337662336</v>
      </c>
      <c r="I8" s="305"/>
      <c r="J8" s="24">
        <v>60</v>
      </c>
      <c r="K8" s="110"/>
    </row>
    <row r="9" spans="1:11" x14ac:dyDescent="0.2">
      <c r="A9" s="443"/>
      <c r="B9" s="445"/>
      <c r="C9" s="21" t="s">
        <v>226</v>
      </c>
      <c r="D9" s="21" t="s">
        <v>451</v>
      </c>
      <c r="E9" s="434"/>
      <c r="F9" s="194">
        <v>660.98</v>
      </c>
      <c r="G9" s="194">
        <v>7713</v>
      </c>
      <c r="H9" s="23">
        <f t="shared" ref="H9:H65" si="0">+F9/G9</f>
        <v>8.5696875405160119E-2</v>
      </c>
      <c r="I9" s="305"/>
      <c r="J9" s="24">
        <v>60</v>
      </c>
      <c r="K9" s="110"/>
    </row>
    <row r="10" spans="1:11" x14ac:dyDescent="0.2">
      <c r="A10" s="443"/>
      <c r="B10" s="445"/>
      <c r="C10" s="21" t="s">
        <v>227</v>
      </c>
      <c r="D10" s="21" t="s">
        <v>452</v>
      </c>
      <c r="E10" s="434"/>
      <c r="F10" s="194">
        <v>933.14</v>
      </c>
      <c r="G10" s="194">
        <v>3850</v>
      </c>
      <c r="H10" s="23">
        <f t="shared" si="0"/>
        <v>0.24237402597402596</v>
      </c>
      <c r="I10" s="305"/>
      <c r="J10" s="24">
        <v>30</v>
      </c>
    </row>
    <row r="11" spans="1:11" x14ac:dyDescent="0.2">
      <c r="A11" s="443"/>
      <c r="B11" s="445"/>
      <c r="C11" s="21" t="s">
        <v>228</v>
      </c>
      <c r="D11" s="21" t="s">
        <v>453</v>
      </c>
      <c r="E11" s="434"/>
      <c r="F11" s="194">
        <v>1695.51</v>
      </c>
      <c r="G11" s="194">
        <v>7700</v>
      </c>
      <c r="H11" s="23">
        <f t="shared" si="0"/>
        <v>0.22019610389610389</v>
      </c>
      <c r="I11" s="305"/>
      <c r="J11" s="24">
        <v>60</v>
      </c>
    </row>
    <row r="12" spans="1:11" x14ac:dyDescent="0.2">
      <c r="A12" s="446" t="s">
        <v>185</v>
      </c>
      <c r="B12" s="447" t="s">
        <v>231</v>
      </c>
      <c r="C12" s="21" t="s">
        <v>229</v>
      </c>
      <c r="D12" s="21" t="s">
        <v>454</v>
      </c>
      <c r="E12" s="433">
        <v>372</v>
      </c>
      <c r="F12" s="194">
        <v>456.74</v>
      </c>
      <c r="G12" s="194">
        <v>1910</v>
      </c>
      <c r="H12" s="23">
        <f t="shared" si="0"/>
        <v>0.23913089005235602</v>
      </c>
      <c r="I12" s="305"/>
      <c r="J12" s="24">
        <v>12</v>
      </c>
      <c r="K12" s="110"/>
    </row>
    <row r="13" spans="1:11" x14ac:dyDescent="0.2">
      <c r="A13" s="443"/>
      <c r="B13" s="445"/>
      <c r="C13" s="21" t="s">
        <v>230</v>
      </c>
      <c r="D13" s="21" t="s">
        <v>455</v>
      </c>
      <c r="E13" s="434"/>
      <c r="F13" s="194">
        <v>388.81</v>
      </c>
      <c r="G13" s="194">
        <v>1895</v>
      </c>
      <c r="H13" s="23">
        <f t="shared" si="0"/>
        <v>0.20517678100263853</v>
      </c>
      <c r="I13" s="305"/>
      <c r="J13" s="24">
        <v>12</v>
      </c>
      <c r="K13" s="110"/>
    </row>
    <row r="14" spans="1:11" x14ac:dyDescent="0.2">
      <c r="A14" s="443"/>
      <c r="B14" s="445"/>
      <c r="C14" s="21" t="s">
        <v>231</v>
      </c>
      <c r="D14" s="21" t="s">
        <v>456</v>
      </c>
      <c r="E14" s="434"/>
      <c r="F14" s="194">
        <v>453.99</v>
      </c>
      <c r="G14" s="194">
        <v>1894</v>
      </c>
      <c r="H14" s="23">
        <f t="shared" si="0"/>
        <v>0.23969904963041183</v>
      </c>
      <c r="I14" s="305"/>
      <c r="J14" s="24">
        <v>12</v>
      </c>
    </row>
    <row r="15" spans="1:11" x14ac:dyDescent="0.2">
      <c r="A15" s="443"/>
      <c r="B15" s="445"/>
      <c r="C15" s="21" t="s">
        <v>232</v>
      </c>
      <c r="D15" s="21" t="s">
        <v>457</v>
      </c>
      <c r="E15" s="434"/>
      <c r="F15" s="194">
        <v>450.45</v>
      </c>
      <c r="G15" s="194">
        <v>1895</v>
      </c>
      <c r="H15" s="23">
        <f t="shared" si="0"/>
        <v>0.23770448548812664</v>
      </c>
      <c r="I15" s="305"/>
      <c r="J15" s="24">
        <v>12</v>
      </c>
    </row>
    <row r="16" spans="1:11" x14ac:dyDescent="0.2">
      <c r="A16" s="448" t="s">
        <v>110</v>
      </c>
      <c r="B16" s="450" t="s">
        <v>240</v>
      </c>
      <c r="C16" s="21" t="s">
        <v>234</v>
      </c>
      <c r="D16" s="21" t="s">
        <v>458</v>
      </c>
      <c r="E16" s="435">
        <v>699</v>
      </c>
      <c r="F16" s="194">
        <v>1504.81</v>
      </c>
      <c r="G16" s="194">
        <v>6615</v>
      </c>
      <c r="H16" s="23">
        <f>+F16/G16</f>
        <v>0.22748450491307634</v>
      </c>
      <c r="I16" s="305"/>
      <c r="J16" s="24">
        <v>62</v>
      </c>
      <c r="K16" s="110"/>
    </row>
    <row r="17" spans="1:13" ht="12.75" customHeight="1" x14ac:dyDescent="0.2">
      <c r="A17" s="449"/>
      <c r="B17" s="451"/>
      <c r="C17" s="21" t="s">
        <v>240</v>
      </c>
      <c r="D17" s="21" t="s">
        <v>459</v>
      </c>
      <c r="E17" s="438"/>
      <c r="F17" s="194">
        <v>1281.19</v>
      </c>
      <c r="G17" s="194">
        <v>6470</v>
      </c>
      <c r="H17" s="23">
        <f t="shared" si="0"/>
        <v>0.19802009273570326</v>
      </c>
      <c r="I17" s="305"/>
      <c r="J17" s="24">
        <v>42</v>
      </c>
    </row>
    <row r="18" spans="1:13" x14ac:dyDescent="0.2">
      <c r="A18" s="446" t="s">
        <v>171</v>
      </c>
      <c r="B18" s="447" t="s">
        <v>239</v>
      </c>
      <c r="C18" s="21" t="s">
        <v>235</v>
      </c>
      <c r="D18" s="21" t="s">
        <v>460</v>
      </c>
      <c r="E18" s="433">
        <v>814</v>
      </c>
      <c r="F18" s="194">
        <v>1199</v>
      </c>
      <c r="G18" s="194">
        <v>6541</v>
      </c>
      <c r="H18" s="23">
        <f t="shared" si="0"/>
        <v>0.18330530499923559</v>
      </c>
      <c r="I18" s="305"/>
      <c r="J18" s="24">
        <v>62</v>
      </c>
      <c r="K18" s="110"/>
    </row>
    <row r="19" spans="1:13" x14ac:dyDescent="0.2">
      <c r="A19" s="446"/>
      <c r="B19" s="447"/>
      <c r="C19" s="21" t="s">
        <v>237</v>
      </c>
      <c r="D19" s="21" t="s">
        <v>461</v>
      </c>
      <c r="E19" s="433"/>
      <c r="F19" s="194">
        <v>898</v>
      </c>
      <c r="G19" s="194">
        <v>4804</v>
      </c>
      <c r="H19" s="23">
        <f>+F19/G19</f>
        <v>0.18692756036636138</v>
      </c>
      <c r="I19" s="305"/>
      <c r="J19" s="24">
        <v>32</v>
      </c>
      <c r="K19" s="110"/>
    </row>
    <row r="20" spans="1:13" x14ac:dyDescent="0.2">
      <c r="A20" s="443"/>
      <c r="B20" s="445"/>
      <c r="C20" s="21" t="s">
        <v>239</v>
      </c>
      <c r="D20" s="21" t="s">
        <v>462</v>
      </c>
      <c r="E20" s="434"/>
      <c r="F20" s="194">
        <v>707</v>
      </c>
      <c r="G20" s="194">
        <v>3698</v>
      </c>
      <c r="H20" s="23">
        <f t="shared" si="0"/>
        <v>0.19118442401298</v>
      </c>
      <c r="I20" s="305"/>
      <c r="J20" s="24">
        <v>26</v>
      </c>
    </row>
    <row r="21" spans="1:13" x14ac:dyDescent="0.2">
      <c r="A21" s="446" t="s">
        <v>186</v>
      </c>
      <c r="B21" s="447" t="s">
        <v>238</v>
      </c>
      <c r="C21" s="21" t="s">
        <v>236</v>
      </c>
      <c r="D21" s="21" t="s">
        <v>463</v>
      </c>
      <c r="E21" s="433">
        <v>714</v>
      </c>
      <c r="F21" s="194">
        <v>1454.28</v>
      </c>
      <c r="G21" s="194">
        <v>6692</v>
      </c>
      <c r="H21" s="23">
        <f t="shared" si="0"/>
        <v>0.21731619844590555</v>
      </c>
      <c r="I21" s="305"/>
      <c r="J21" s="24">
        <v>62</v>
      </c>
      <c r="K21" s="110"/>
    </row>
    <row r="22" spans="1:13" x14ac:dyDescent="0.2">
      <c r="A22" s="443"/>
      <c r="B22" s="445"/>
      <c r="C22" s="21" t="s">
        <v>238</v>
      </c>
      <c r="D22" s="21" t="s">
        <v>464</v>
      </c>
      <c r="E22" s="434"/>
      <c r="F22" s="194">
        <v>1089.72</v>
      </c>
      <c r="G22" s="194">
        <v>4863</v>
      </c>
      <c r="H22" s="23">
        <f t="shared" si="0"/>
        <v>0.22408389882788401</v>
      </c>
      <c r="I22" s="305"/>
      <c r="J22" s="24">
        <v>33</v>
      </c>
      <c r="K22" s="110"/>
      <c r="M22" s="110"/>
    </row>
    <row r="23" spans="1:13" x14ac:dyDescent="0.2">
      <c r="A23" s="453" t="s">
        <v>111</v>
      </c>
      <c r="B23" s="447" t="s">
        <v>241</v>
      </c>
      <c r="C23" s="21" t="s">
        <v>233</v>
      </c>
      <c r="D23" s="21" t="s">
        <v>465</v>
      </c>
      <c r="E23" s="433">
        <v>445</v>
      </c>
      <c r="F23" s="194">
        <v>962.66</v>
      </c>
      <c r="G23" s="194">
        <v>3389</v>
      </c>
      <c r="H23" s="23">
        <f t="shared" si="0"/>
        <v>0.28405429330185894</v>
      </c>
      <c r="I23" s="305"/>
      <c r="J23" s="24">
        <v>26</v>
      </c>
      <c r="K23" s="110"/>
    </row>
    <row r="24" spans="1:13" x14ac:dyDescent="0.2">
      <c r="A24" s="454"/>
      <c r="B24" s="445"/>
      <c r="C24" s="21" t="s">
        <v>241</v>
      </c>
      <c r="D24" s="21" t="s">
        <v>466</v>
      </c>
      <c r="E24" s="434"/>
      <c r="F24" s="194">
        <v>786.34</v>
      </c>
      <c r="G24" s="194">
        <v>5389</v>
      </c>
      <c r="H24" s="23">
        <f t="shared" si="0"/>
        <v>0.14591575431434403</v>
      </c>
      <c r="I24" s="305"/>
      <c r="J24" s="25">
        <v>29</v>
      </c>
    </row>
    <row r="25" spans="1:13" x14ac:dyDescent="0.2">
      <c r="A25" s="453" t="s">
        <v>174</v>
      </c>
      <c r="B25" s="447" t="s">
        <v>244</v>
      </c>
      <c r="C25" s="21" t="s">
        <v>242</v>
      </c>
      <c r="D25" s="21" t="s">
        <v>467</v>
      </c>
      <c r="E25" s="433">
        <v>574</v>
      </c>
      <c r="F25" s="194">
        <v>369.61</v>
      </c>
      <c r="G25" s="194">
        <v>1910</v>
      </c>
      <c r="H25" s="23">
        <f t="shared" si="0"/>
        <v>0.19351308900523562</v>
      </c>
      <c r="I25" s="305">
        <v>12</v>
      </c>
      <c r="J25" s="25">
        <v>12</v>
      </c>
    </row>
    <row r="26" spans="1:13" x14ac:dyDescent="0.2">
      <c r="A26" s="454"/>
      <c r="B26" s="445"/>
      <c r="C26" s="21" t="s">
        <v>243</v>
      </c>
      <c r="D26" s="21" t="s">
        <v>468</v>
      </c>
      <c r="E26" s="434"/>
      <c r="F26" s="194">
        <v>354.41</v>
      </c>
      <c r="G26" s="194">
        <v>1910</v>
      </c>
      <c r="H26" s="23">
        <f t="shared" si="0"/>
        <v>0.18555497382198954</v>
      </c>
      <c r="I26" s="305">
        <v>12</v>
      </c>
      <c r="J26" s="25">
        <v>12</v>
      </c>
      <c r="K26" s="110"/>
    </row>
    <row r="27" spans="1:13" x14ac:dyDescent="0.2">
      <c r="A27" s="454"/>
      <c r="B27" s="445"/>
      <c r="C27" s="21" t="s">
        <v>244</v>
      </c>
      <c r="D27" s="21" t="s">
        <v>469</v>
      </c>
      <c r="E27" s="434"/>
      <c r="F27" s="194">
        <v>353.39</v>
      </c>
      <c r="G27" s="194">
        <v>1910</v>
      </c>
      <c r="H27" s="23">
        <f t="shared" si="0"/>
        <v>0.18502094240837696</v>
      </c>
      <c r="I27" s="305"/>
      <c r="J27" s="25">
        <v>12</v>
      </c>
    </row>
    <row r="28" spans="1:13" x14ac:dyDescent="0.2">
      <c r="A28" s="454"/>
      <c r="B28" s="445"/>
      <c r="C28" s="21" t="s">
        <v>245</v>
      </c>
      <c r="D28" s="21" t="s">
        <v>470</v>
      </c>
      <c r="E28" s="434"/>
      <c r="F28" s="194">
        <v>216.2</v>
      </c>
      <c r="G28" s="194">
        <v>1910</v>
      </c>
      <c r="H28" s="23">
        <f t="shared" si="0"/>
        <v>0.11319371727748691</v>
      </c>
      <c r="I28" s="305">
        <v>12</v>
      </c>
      <c r="J28" s="25">
        <v>12</v>
      </c>
    </row>
    <row r="29" spans="1:13" x14ac:dyDescent="0.2">
      <c r="A29" s="454"/>
      <c r="B29" s="445"/>
      <c r="C29" s="21" t="s">
        <v>246</v>
      </c>
      <c r="D29" s="21" t="s">
        <v>471</v>
      </c>
      <c r="E29" s="434"/>
      <c r="F29" s="194">
        <v>414.4</v>
      </c>
      <c r="G29" s="194">
        <v>1910</v>
      </c>
      <c r="H29" s="23">
        <f t="shared" si="0"/>
        <v>0.21696335078534029</v>
      </c>
      <c r="I29" s="305"/>
      <c r="J29" s="25">
        <v>12</v>
      </c>
    </row>
    <row r="30" spans="1:13" x14ac:dyDescent="0.2">
      <c r="A30" s="453" t="s">
        <v>182</v>
      </c>
      <c r="B30" s="447" t="s">
        <v>248</v>
      </c>
      <c r="C30" s="21" t="s">
        <v>247</v>
      </c>
      <c r="D30" s="21" t="s">
        <v>472</v>
      </c>
      <c r="E30" s="433">
        <v>826</v>
      </c>
      <c r="F30" s="194">
        <v>893.41</v>
      </c>
      <c r="G30" s="194">
        <v>5124</v>
      </c>
      <c r="H30" s="23">
        <f t="shared" si="0"/>
        <v>0.17435792349726775</v>
      </c>
      <c r="I30" s="305"/>
      <c r="J30" s="25">
        <v>36</v>
      </c>
    </row>
    <row r="31" spans="1:13" x14ac:dyDescent="0.2">
      <c r="A31" s="454"/>
      <c r="B31" s="445"/>
      <c r="C31" s="21" t="s">
        <v>248</v>
      </c>
      <c r="D31" s="21" t="s">
        <v>473</v>
      </c>
      <c r="E31" s="434"/>
      <c r="F31" s="194">
        <v>1002.4</v>
      </c>
      <c r="G31" s="194">
        <v>5124</v>
      </c>
      <c r="H31" s="23">
        <f t="shared" si="0"/>
        <v>0.19562841530054645</v>
      </c>
      <c r="I31" s="305"/>
      <c r="J31" s="25">
        <v>36</v>
      </c>
      <c r="K31" s="110"/>
    </row>
    <row r="32" spans="1:13" x14ac:dyDescent="0.2">
      <c r="A32" s="454"/>
      <c r="B32" s="445"/>
      <c r="C32" s="21" t="s">
        <v>249</v>
      </c>
      <c r="D32" s="21" t="s">
        <v>474</v>
      </c>
      <c r="E32" s="434"/>
      <c r="F32" s="194">
        <v>1098.19</v>
      </c>
      <c r="G32" s="194">
        <v>5114</v>
      </c>
      <c r="H32" s="23">
        <f t="shared" si="0"/>
        <v>0.21474188502150959</v>
      </c>
      <c r="I32" s="305"/>
      <c r="J32" s="25">
        <v>36</v>
      </c>
    </row>
    <row r="33" spans="1:12" x14ac:dyDescent="0.2">
      <c r="A33" s="453" t="s">
        <v>169</v>
      </c>
      <c r="B33" s="447" t="s">
        <v>252</v>
      </c>
      <c r="C33" s="21" t="s">
        <v>250</v>
      </c>
      <c r="D33" s="21" t="s">
        <v>475</v>
      </c>
      <c r="E33" s="433">
        <v>1543</v>
      </c>
      <c r="F33" s="194">
        <v>1049.0999999999999</v>
      </c>
      <c r="G33" s="194">
        <v>5631</v>
      </c>
      <c r="H33" s="23">
        <f t="shared" si="0"/>
        <v>0.18630793819925412</v>
      </c>
      <c r="I33" s="305"/>
      <c r="J33" s="25">
        <v>34</v>
      </c>
    </row>
    <row r="34" spans="1:12" x14ac:dyDescent="0.2">
      <c r="A34" s="454"/>
      <c r="B34" s="445"/>
      <c r="C34" s="21" t="s">
        <v>251</v>
      </c>
      <c r="D34" s="21" t="s">
        <v>476</v>
      </c>
      <c r="E34" s="434"/>
      <c r="F34" s="194">
        <v>1052.2</v>
      </c>
      <c r="G34" s="194">
        <v>4311</v>
      </c>
      <c r="H34" s="23">
        <f t="shared" si="0"/>
        <v>0.24407330085826956</v>
      </c>
      <c r="I34" s="305"/>
      <c r="J34" s="25">
        <v>27</v>
      </c>
      <c r="K34" s="110"/>
    </row>
    <row r="35" spans="1:12" x14ac:dyDescent="0.2">
      <c r="A35" s="454"/>
      <c r="B35" s="445"/>
      <c r="C35" s="21" t="s">
        <v>252</v>
      </c>
      <c r="D35" s="21" t="s">
        <v>477</v>
      </c>
      <c r="E35" s="434"/>
      <c r="F35" s="194">
        <v>909.65</v>
      </c>
      <c r="G35" s="194">
        <v>4183</v>
      </c>
      <c r="H35" s="23">
        <f t="shared" si="0"/>
        <v>0.2174635429117858</v>
      </c>
      <c r="I35" s="305"/>
      <c r="J35" s="25">
        <v>26</v>
      </c>
    </row>
    <row r="36" spans="1:12" x14ac:dyDescent="0.2">
      <c r="A36" s="454"/>
      <c r="B36" s="445"/>
      <c r="C36" s="21" t="s">
        <v>253</v>
      </c>
      <c r="D36" s="21" t="s">
        <v>478</v>
      </c>
      <c r="E36" s="434"/>
      <c r="F36" s="194">
        <v>1077.72</v>
      </c>
      <c r="G36" s="194">
        <v>4384</v>
      </c>
      <c r="H36" s="23">
        <f t="shared" si="0"/>
        <v>0.24583029197080292</v>
      </c>
      <c r="I36" s="305"/>
      <c r="J36" s="25">
        <v>27</v>
      </c>
    </row>
    <row r="37" spans="1:12" x14ac:dyDescent="0.2">
      <c r="A37" s="454"/>
      <c r="B37" s="445"/>
      <c r="C37" s="21" t="s">
        <v>254</v>
      </c>
      <c r="D37" s="21" t="s">
        <v>479</v>
      </c>
      <c r="E37" s="434"/>
      <c r="F37" s="194">
        <v>691.33</v>
      </c>
      <c r="G37" s="194">
        <v>3366</v>
      </c>
      <c r="H37" s="23">
        <f t="shared" si="0"/>
        <v>0.20538621509209745</v>
      </c>
      <c r="I37" s="305"/>
      <c r="J37" s="25">
        <v>22</v>
      </c>
    </row>
    <row r="38" spans="1:12" x14ac:dyDescent="0.2">
      <c r="A38" s="453" t="s">
        <v>116</v>
      </c>
      <c r="B38" s="447" t="s">
        <v>256</v>
      </c>
      <c r="C38" s="21" t="s">
        <v>255</v>
      </c>
      <c r="D38" s="21" t="s">
        <v>480</v>
      </c>
      <c r="E38" s="433">
        <v>772</v>
      </c>
      <c r="F38" s="194">
        <v>914.97</v>
      </c>
      <c r="G38" s="194">
        <v>5276</v>
      </c>
      <c r="H38" s="23">
        <f t="shared" si="0"/>
        <v>0.17342115238817285</v>
      </c>
      <c r="I38" s="305"/>
      <c r="J38" s="25">
        <v>36</v>
      </c>
      <c r="K38" s="110"/>
      <c r="L38" s="110"/>
    </row>
    <row r="39" spans="1:12" x14ac:dyDescent="0.2">
      <c r="A39" s="454"/>
      <c r="B39" s="445"/>
      <c r="C39" s="21" t="s">
        <v>256</v>
      </c>
      <c r="D39" s="21" t="s">
        <v>481</v>
      </c>
      <c r="E39" s="434"/>
      <c r="F39" s="194">
        <v>544.07000000000005</v>
      </c>
      <c r="G39" s="194">
        <v>5256</v>
      </c>
      <c r="H39" s="23">
        <f t="shared" si="0"/>
        <v>0.1035140791476408</v>
      </c>
      <c r="I39" s="305"/>
      <c r="J39" s="25">
        <v>35</v>
      </c>
      <c r="K39" s="110"/>
    </row>
    <row r="40" spans="1:12" x14ac:dyDescent="0.2">
      <c r="A40" s="454"/>
      <c r="B40" s="445"/>
      <c r="C40" s="21" t="s">
        <v>257</v>
      </c>
      <c r="D40" s="21" t="s">
        <v>482</v>
      </c>
      <c r="E40" s="434"/>
      <c r="F40" s="194">
        <v>598.95000000000005</v>
      </c>
      <c r="G40" s="194">
        <v>5279</v>
      </c>
      <c r="H40" s="23">
        <f t="shared" si="0"/>
        <v>0.11345898844478122</v>
      </c>
      <c r="I40" s="305">
        <v>36</v>
      </c>
      <c r="J40" s="25">
        <v>36</v>
      </c>
    </row>
    <row r="41" spans="1:12" x14ac:dyDescent="0.2">
      <c r="A41" s="453" t="s">
        <v>187</v>
      </c>
      <c r="B41" s="447" t="s">
        <v>259</v>
      </c>
      <c r="C41" s="21" t="s">
        <v>258</v>
      </c>
      <c r="D41" s="21" t="s">
        <v>424</v>
      </c>
      <c r="E41" s="433">
        <v>779</v>
      </c>
      <c r="F41" s="194">
        <v>930.15</v>
      </c>
      <c r="G41" s="194">
        <v>5124</v>
      </c>
      <c r="H41" s="23">
        <f t="shared" si="0"/>
        <v>0.18152810304449649</v>
      </c>
      <c r="I41" s="305"/>
      <c r="J41" s="25">
        <v>36</v>
      </c>
    </row>
    <row r="42" spans="1:12" x14ac:dyDescent="0.2">
      <c r="A42" s="454"/>
      <c r="B42" s="445"/>
      <c r="C42" s="21" t="s">
        <v>259</v>
      </c>
      <c r="D42" s="21" t="s">
        <v>425</v>
      </c>
      <c r="E42" s="434"/>
      <c r="F42" s="194">
        <v>1007.13</v>
      </c>
      <c r="G42" s="194">
        <v>5095</v>
      </c>
      <c r="H42" s="23">
        <f t="shared" si="0"/>
        <v>0.1976702649656526</v>
      </c>
      <c r="I42" s="305"/>
      <c r="J42" s="25">
        <v>36</v>
      </c>
      <c r="K42" s="110"/>
    </row>
    <row r="43" spans="1:12" x14ac:dyDescent="0.2">
      <c r="A43" s="454"/>
      <c r="B43" s="445"/>
      <c r="C43" s="21" t="s">
        <v>260</v>
      </c>
      <c r="D43" s="21" t="s">
        <v>426</v>
      </c>
      <c r="E43" s="434"/>
      <c r="F43" s="194">
        <v>1187.72</v>
      </c>
      <c r="G43" s="194">
        <v>5095</v>
      </c>
      <c r="H43" s="23">
        <f t="shared" si="0"/>
        <v>0.23311481844946025</v>
      </c>
      <c r="I43" s="305"/>
      <c r="J43" s="25">
        <v>36</v>
      </c>
    </row>
    <row r="44" spans="1:12" x14ac:dyDescent="0.2">
      <c r="A44" s="453" t="s">
        <v>134</v>
      </c>
      <c r="B44" s="447" t="s">
        <v>262</v>
      </c>
      <c r="C44" s="21" t="s">
        <v>261</v>
      </c>
      <c r="D44" s="21" t="s">
        <v>390</v>
      </c>
      <c r="E44" s="433">
        <v>1978</v>
      </c>
      <c r="F44" s="194">
        <v>4928</v>
      </c>
      <c r="G44" s="194">
        <v>22843</v>
      </c>
      <c r="H44" s="23">
        <f t="shared" si="0"/>
        <v>0.21573348509390186</v>
      </c>
      <c r="I44" s="305"/>
      <c r="J44" s="25">
        <v>156</v>
      </c>
    </row>
    <row r="45" spans="1:12" x14ac:dyDescent="0.2">
      <c r="A45" s="454"/>
      <c r="B45" s="445"/>
      <c r="C45" s="21" t="s">
        <v>262</v>
      </c>
      <c r="D45" s="21" t="s">
        <v>391</v>
      </c>
      <c r="E45" s="434"/>
      <c r="F45" s="194">
        <v>1020</v>
      </c>
      <c r="G45" s="194">
        <v>7960</v>
      </c>
      <c r="H45" s="23">
        <f t="shared" si="0"/>
        <v>0.12814070351758794</v>
      </c>
      <c r="I45" s="305"/>
      <c r="J45" s="25">
        <v>60</v>
      </c>
      <c r="K45" s="110"/>
    </row>
    <row r="46" spans="1:12" x14ac:dyDescent="0.2">
      <c r="A46" s="453" t="s">
        <v>176</v>
      </c>
      <c r="B46" s="447" t="s">
        <v>264</v>
      </c>
      <c r="C46" s="21" t="s">
        <v>263</v>
      </c>
      <c r="D46" s="21" t="s">
        <v>392</v>
      </c>
      <c r="E46" s="433">
        <v>964</v>
      </c>
      <c r="F46" s="194">
        <v>1490.87</v>
      </c>
      <c r="G46" s="194">
        <v>8050</v>
      </c>
      <c r="H46" s="23">
        <f t="shared" si="0"/>
        <v>0.18520124223602483</v>
      </c>
      <c r="I46" s="305"/>
      <c r="J46" s="25">
        <v>60</v>
      </c>
    </row>
    <row r="47" spans="1:12" x14ac:dyDescent="0.2">
      <c r="A47" s="454"/>
      <c r="B47" s="445"/>
      <c r="C47" s="21" t="s">
        <v>264</v>
      </c>
      <c r="D47" s="21" t="s">
        <v>393</v>
      </c>
      <c r="E47" s="434"/>
      <c r="F47" s="194">
        <v>894.46</v>
      </c>
      <c r="G47" s="194">
        <v>7960</v>
      </c>
      <c r="H47" s="23">
        <f t="shared" si="0"/>
        <v>0.11236934673366834</v>
      </c>
      <c r="I47" s="305"/>
      <c r="J47" s="25">
        <v>60</v>
      </c>
      <c r="K47" s="110"/>
    </row>
    <row r="48" spans="1:12" x14ac:dyDescent="0.2">
      <c r="A48" s="454"/>
      <c r="B48" s="445"/>
      <c r="C48" s="21" t="s">
        <v>265</v>
      </c>
      <c r="D48" s="21" t="s">
        <v>394</v>
      </c>
      <c r="E48" s="434"/>
      <c r="F48" s="194">
        <v>915.67</v>
      </c>
      <c r="G48" s="194">
        <v>7685</v>
      </c>
      <c r="H48" s="23">
        <f t="shared" si="0"/>
        <v>0.11915029277813922</v>
      </c>
      <c r="I48" s="305"/>
      <c r="J48" s="25">
        <v>55</v>
      </c>
    </row>
    <row r="49" spans="1:11" x14ac:dyDescent="0.2">
      <c r="A49" s="453" t="s">
        <v>135</v>
      </c>
      <c r="B49" s="447" t="s">
        <v>266</v>
      </c>
      <c r="C49" s="21" t="s">
        <v>266</v>
      </c>
      <c r="D49" s="21" t="s">
        <v>395</v>
      </c>
      <c r="E49" s="433">
        <v>1597</v>
      </c>
      <c r="F49" s="194">
        <v>2066.2399999999998</v>
      </c>
      <c r="G49" s="194">
        <v>11579</v>
      </c>
      <c r="H49" s="23">
        <f t="shared" si="0"/>
        <v>0.17844718887641417</v>
      </c>
      <c r="I49" s="305"/>
      <c r="J49" s="25">
        <v>90</v>
      </c>
      <c r="K49" s="110"/>
    </row>
    <row r="50" spans="1:11" x14ac:dyDescent="0.2">
      <c r="A50" s="454"/>
      <c r="B50" s="445"/>
      <c r="C50" s="21" t="s">
        <v>267</v>
      </c>
      <c r="D50" s="21" t="s">
        <v>396</v>
      </c>
      <c r="E50" s="434"/>
      <c r="F50" s="194">
        <v>1817.33</v>
      </c>
      <c r="G50" s="194">
        <v>7750</v>
      </c>
      <c r="H50" s="23">
        <f t="shared" si="0"/>
        <v>0.23449419354838708</v>
      </c>
      <c r="I50" s="305"/>
      <c r="J50" s="25">
        <v>60</v>
      </c>
      <c r="K50" s="110"/>
    </row>
    <row r="51" spans="1:11" x14ac:dyDescent="0.2">
      <c r="A51" s="454"/>
      <c r="B51" s="445"/>
      <c r="C51" s="21" t="s">
        <v>268</v>
      </c>
      <c r="D51" s="21" t="s">
        <v>397</v>
      </c>
      <c r="E51" s="434"/>
      <c r="F51" s="194">
        <v>886.43</v>
      </c>
      <c r="G51" s="194">
        <v>7750</v>
      </c>
      <c r="H51" s="23">
        <f t="shared" si="0"/>
        <v>0.11437806451612903</v>
      </c>
      <c r="I51" s="305"/>
      <c r="J51" s="25">
        <v>60</v>
      </c>
    </row>
    <row r="52" spans="1:11" x14ac:dyDescent="0.2">
      <c r="A52" s="453" t="s">
        <v>177</v>
      </c>
      <c r="B52" s="447" t="s">
        <v>270</v>
      </c>
      <c r="C52" s="21" t="s">
        <v>269</v>
      </c>
      <c r="D52" s="21" t="s">
        <v>398</v>
      </c>
      <c r="E52" s="433">
        <v>1639</v>
      </c>
      <c r="F52" s="194">
        <v>919.32</v>
      </c>
      <c r="G52" s="194">
        <v>7750</v>
      </c>
      <c r="H52" s="23">
        <f t="shared" si="0"/>
        <v>0.11862193548387097</v>
      </c>
      <c r="I52" s="305"/>
      <c r="J52" s="25">
        <v>60</v>
      </c>
    </row>
    <row r="53" spans="1:11" x14ac:dyDescent="0.2">
      <c r="A53" s="453"/>
      <c r="B53" s="447"/>
      <c r="C53" s="21" t="s">
        <v>270</v>
      </c>
      <c r="D53" s="21" t="s">
        <v>399</v>
      </c>
      <c r="E53" s="433"/>
      <c r="F53" s="194">
        <v>871.63</v>
      </c>
      <c r="G53" s="194">
        <v>7750</v>
      </c>
      <c r="H53" s="23">
        <f>+F53/G53</f>
        <v>0.11246838709677419</v>
      </c>
      <c r="I53" s="305"/>
      <c r="J53" s="25">
        <v>60</v>
      </c>
      <c r="K53" s="110"/>
    </row>
    <row r="54" spans="1:11" x14ac:dyDescent="0.2">
      <c r="A54" s="454"/>
      <c r="B54" s="445"/>
      <c r="C54" s="21" t="s">
        <v>280</v>
      </c>
      <c r="D54" s="21" t="s">
        <v>400</v>
      </c>
      <c r="E54" s="434"/>
      <c r="F54" s="194">
        <v>954.05</v>
      </c>
      <c r="G54" s="194">
        <v>7750</v>
      </c>
      <c r="H54" s="23">
        <f t="shared" si="0"/>
        <v>0.12310322580645161</v>
      </c>
      <c r="I54" s="305"/>
      <c r="J54" s="25">
        <v>60</v>
      </c>
    </row>
    <row r="55" spans="1:11" x14ac:dyDescent="0.2">
      <c r="A55" s="453" t="s">
        <v>178</v>
      </c>
      <c r="B55" s="447" t="s">
        <v>272</v>
      </c>
      <c r="C55" s="21" t="s">
        <v>271</v>
      </c>
      <c r="D55" s="21" t="s">
        <v>401</v>
      </c>
      <c r="E55" s="433">
        <v>907</v>
      </c>
      <c r="F55" s="194">
        <v>1120.46</v>
      </c>
      <c r="G55" s="194">
        <v>7700</v>
      </c>
      <c r="H55" s="23">
        <f t="shared" si="0"/>
        <v>0.14551428571428571</v>
      </c>
      <c r="I55" s="305"/>
      <c r="J55" s="25">
        <v>60</v>
      </c>
      <c r="K55" s="110"/>
    </row>
    <row r="56" spans="1:11" s="104" customFormat="1" x14ac:dyDescent="0.2">
      <c r="A56" s="454"/>
      <c r="B56" s="445"/>
      <c r="C56" s="105" t="s">
        <v>272</v>
      </c>
      <c r="D56" s="105" t="s">
        <v>402</v>
      </c>
      <c r="E56" s="434"/>
      <c r="F56" s="219">
        <v>691.54</v>
      </c>
      <c r="G56" s="219">
        <v>7700</v>
      </c>
      <c r="H56" s="106">
        <f t="shared" si="0"/>
        <v>8.9810389610389604E-2</v>
      </c>
      <c r="I56" s="306">
        <v>60</v>
      </c>
      <c r="J56" s="107">
        <v>60</v>
      </c>
    </row>
    <row r="57" spans="1:11" x14ac:dyDescent="0.2">
      <c r="A57" s="453" t="s">
        <v>179</v>
      </c>
      <c r="B57" s="447" t="s">
        <v>273</v>
      </c>
      <c r="C57" s="207">
        <v>216</v>
      </c>
      <c r="D57" s="207" t="s">
        <v>403</v>
      </c>
      <c r="E57" s="433">
        <v>1000</v>
      </c>
      <c r="F57" s="194">
        <v>3072.1</v>
      </c>
      <c r="G57" s="194">
        <v>11860</v>
      </c>
      <c r="H57" s="23">
        <f t="shared" si="0"/>
        <v>0.25903035413153458</v>
      </c>
      <c r="I57" s="305"/>
      <c r="J57" s="25">
        <v>90</v>
      </c>
      <c r="K57" s="110"/>
    </row>
    <row r="58" spans="1:11" x14ac:dyDescent="0.2">
      <c r="A58" s="454"/>
      <c r="B58" s="445"/>
      <c r="C58" s="232" t="s">
        <v>281</v>
      </c>
      <c r="D58" s="232" t="s">
        <v>404</v>
      </c>
      <c r="E58" s="434"/>
      <c r="F58" s="194">
        <v>651.9</v>
      </c>
      <c r="G58" s="194">
        <v>3640</v>
      </c>
      <c r="H58" s="23">
        <f t="shared" si="0"/>
        <v>0.17909340659340658</v>
      </c>
      <c r="I58" s="305"/>
      <c r="J58" s="25">
        <v>30</v>
      </c>
    </row>
    <row r="59" spans="1:11" x14ac:dyDescent="0.2">
      <c r="A59" s="453" t="s">
        <v>136</v>
      </c>
      <c r="B59" s="447" t="s">
        <v>274</v>
      </c>
      <c r="C59" s="21" t="s">
        <v>274</v>
      </c>
      <c r="D59" s="21" t="s">
        <v>405</v>
      </c>
      <c r="E59" s="433">
        <v>1390</v>
      </c>
      <c r="F59" s="194">
        <v>1673.71</v>
      </c>
      <c r="G59" s="194">
        <v>7632</v>
      </c>
      <c r="H59" s="23">
        <f t="shared" si="0"/>
        <v>0.21930162473794551</v>
      </c>
      <c r="I59" s="305"/>
      <c r="J59" s="25">
        <v>55</v>
      </c>
    </row>
    <row r="60" spans="1:11" x14ac:dyDescent="0.2">
      <c r="A60" s="454"/>
      <c r="B60" s="445"/>
      <c r="C60" s="21" t="s">
        <v>275</v>
      </c>
      <c r="D60" s="21" t="s">
        <v>406</v>
      </c>
      <c r="E60" s="434"/>
      <c r="F60" s="194">
        <v>771.41</v>
      </c>
      <c r="G60" s="194">
        <v>7632</v>
      </c>
      <c r="H60" s="23">
        <f t="shared" si="0"/>
        <v>0.10107573375262054</v>
      </c>
      <c r="I60" s="305">
        <v>55</v>
      </c>
      <c r="J60" s="25">
        <v>55</v>
      </c>
    </row>
    <row r="61" spans="1:11" x14ac:dyDescent="0.2">
      <c r="A61" s="454"/>
      <c r="B61" s="445"/>
      <c r="C61" s="21" t="s">
        <v>277</v>
      </c>
      <c r="D61" s="21" t="s">
        <v>407</v>
      </c>
      <c r="E61" s="434"/>
      <c r="F61" s="194">
        <v>945.89</v>
      </c>
      <c r="G61" s="194">
        <v>7750</v>
      </c>
      <c r="H61" s="23">
        <f t="shared" si="0"/>
        <v>0.12205032258064516</v>
      </c>
      <c r="I61" s="305">
        <v>60</v>
      </c>
      <c r="J61" s="25">
        <v>60</v>
      </c>
      <c r="K61" s="110"/>
    </row>
    <row r="62" spans="1:11" x14ac:dyDescent="0.2">
      <c r="A62" s="453" t="s">
        <v>137</v>
      </c>
      <c r="B62" s="447" t="s">
        <v>276</v>
      </c>
      <c r="C62" s="21" t="s">
        <v>276</v>
      </c>
      <c r="D62" s="21" t="s">
        <v>408</v>
      </c>
      <c r="E62" s="433">
        <v>1512</v>
      </c>
      <c r="F62" s="194">
        <v>868.17</v>
      </c>
      <c r="G62" s="194">
        <v>7532</v>
      </c>
      <c r="H62" s="23">
        <f t="shared" si="0"/>
        <v>0.11526420605416887</v>
      </c>
      <c r="I62" s="305"/>
      <c r="J62" s="25">
        <v>58</v>
      </c>
      <c r="K62" s="110"/>
    </row>
    <row r="63" spans="1:11" x14ac:dyDescent="0.2">
      <c r="A63" s="454"/>
      <c r="B63" s="445"/>
      <c r="C63" s="21" t="s">
        <v>278</v>
      </c>
      <c r="D63" s="21" t="s">
        <v>409</v>
      </c>
      <c r="E63" s="434"/>
      <c r="F63" s="194">
        <v>1451.82</v>
      </c>
      <c r="G63" s="194">
        <v>11719</v>
      </c>
      <c r="H63" s="23">
        <f t="shared" si="0"/>
        <v>0.12388599709872855</v>
      </c>
      <c r="I63" s="305">
        <v>90</v>
      </c>
      <c r="J63" s="25">
        <v>90</v>
      </c>
      <c r="K63" s="110"/>
    </row>
    <row r="64" spans="1:11" x14ac:dyDescent="0.2">
      <c r="A64" s="454"/>
      <c r="B64" s="445"/>
      <c r="C64" s="21" t="s">
        <v>279</v>
      </c>
      <c r="D64" s="21" t="s">
        <v>410</v>
      </c>
      <c r="E64" s="434"/>
      <c r="F64" s="194">
        <v>656</v>
      </c>
      <c r="G64" s="194">
        <v>8034</v>
      </c>
      <c r="H64" s="23">
        <f t="shared" si="0"/>
        <v>8.1652974856858351E-2</v>
      </c>
      <c r="I64" s="305"/>
      <c r="J64" s="25">
        <v>60</v>
      </c>
    </row>
    <row r="65" spans="1:11" x14ac:dyDescent="0.2">
      <c r="A65" s="453" t="s">
        <v>138</v>
      </c>
      <c r="B65" s="447" t="s">
        <v>282</v>
      </c>
      <c r="C65" s="21" t="s">
        <v>282</v>
      </c>
      <c r="D65" s="21" t="s">
        <v>355</v>
      </c>
      <c r="E65" s="433">
        <v>1598</v>
      </c>
      <c r="F65" s="194">
        <v>1922.46</v>
      </c>
      <c r="G65" s="194">
        <v>8355</v>
      </c>
      <c r="H65" s="23">
        <f t="shared" si="0"/>
        <v>0.23009694793536806</v>
      </c>
      <c r="I65" s="305"/>
      <c r="J65" s="25">
        <v>59</v>
      </c>
    </row>
    <row r="66" spans="1:11" x14ac:dyDescent="0.2">
      <c r="A66" s="453"/>
      <c r="B66" s="447"/>
      <c r="C66" s="21" t="s">
        <v>283</v>
      </c>
      <c r="D66" s="21" t="s">
        <v>356</v>
      </c>
      <c r="E66" s="433"/>
      <c r="F66" s="194">
        <v>623.29</v>
      </c>
      <c r="G66" s="194">
        <v>4294</v>
      </c>
      <c r="H66" s="23">
        <f>+F66/G66</f>
        <v>0.14515370284117371</v>
      </c>
      <c r="I66" s="305"/>
      <c r="J66" s="25">
        <v>28</v>
      </c>
    </row>
    <row r="67" spans="1:11" x14ac:dyDescent="0.2">
      <c r="A67" s="454"/>
      <c r="B67" s="445"/>
      <c r="C67" s="21" t="s">
        <v>287</v>
      </c>
      <c r="D67" s="21" t="s">
        <v>357</v>
      </c>
      <c r="E67" s="434"/>
      <c r="F67" s="194">
        <v>391.85</v>
      </c>
      <c r="G67" s="194">
        <v>3073</v>
      </c>
      <c r="H67" s="23">
        <f t="shared" ref="H67:H116" si="1">+F67/G67</f>
        <v>0.12751383013342013</v>
      </c>
      <c r="I67" s="305"/>
      <c r="J67" s="25">
        <v>20</v>
      </c>
    </row>
    <row r="68" spans="1:11" x14ac:dyDescent="0.2">
      <c r="A68" s="454"/>
      <c r="B68" s="445"/>
      <c r="C68" s="21" t="s">
        <v>288</v>
      </c>
      <c r="D68" s="21" t="s">
        <v>358</v>
      </c>
      <c r="E68" s="434"/>
      <c r="F68" s="194">
        <v>411.18</v>
      </c>
      <c r="G68" s="194">
        <v>3073</v>
      </c>
      <c r="H68" s="23">
        <f t="shared" si="1"/>
        <v>0.13380410022779043</v>
      </c>
      <c r="I68" s="305">
        <v>20</v>
      </c>
      <c r="J68" s="25">
        <v>20</v>
      </c>
      <c r="K68" s="110"/>
    </row>
    <row r="69" spans="1:11" x14ac:dyDescent="0.2">
      <c r="A69" s="454"/>
      <c r="B69" s="445"/>
      <c r="C69" s="21" t="s">
        <v>289</v>
      </c>
      <c r="D69" s="21" t="s">
        <v>359</v>
      </c>
      <c r="E69" s="434"/>
      <c r="F69" s="194">
        <v>419.85</v>
      </c>
      <c r="G69" s="194">
        <v>3114</v>
      </c>
      <c r="H69" s="23">
        <f t="shared" si="1"/>
        <v>0.13482658959537572</v>
      </c>
      <c r="I69" s="305">
        <v>20</v>
      </c>
      <c r="J69" s="25">
        <v>20</v>
      </c>
    </row>
    <row r="70" spans="1:11" x14ac:dyDescent="0.2">
      <c r="A70" s="454"/>
      <c r="B70" s="445"/>
      <c r="C70" s="21" t="s">
        <v>290</v>
      </c>
      <c r="D70" s="21" t="s">
        <v>360</v>
      </c>
      <c r="E70" s="434"/>
      <c r="F70" s="194">
        <v>383.32</v>
      </c>
      <c r="G70" s="194">
        <v>3125</v>
      </c>
      <c r="H70" s="23">
        <f t="shared" si="1"/>
        <v>0.12266239999999999</v>
      </c>
      <c r="I70" s="305"/>
      <c r="J70" s="25">
        <v>19</v>
      </c>
    </row>
    <row r="71" spans="1:11" x14ac:dyDescent="0.2">
      <c r="A71" s="454"/>
      <c r="B71" s="445"/>
      <c r="C71" s="21" t="s">
        <v>291</v>
      </c>
      <c r="D71" s="21" t="s">
        <v>361</v>
      </c>
      <c r="E71" s="434"/>
      <c r="F71" s="194">
        <v>426.04</v>
      </c>
      <c r="G71" s="194">
        <v>3073</v>
      </c>
      <c r="H71" s="23">
        <f t="shared" si="1"/>
        <v>0.13863976570126912</v>
      </c>
      <c r="I71" s="305">
        <v>20</v>
      </c>
      <c r="J71" s="25">
        <v>20</v>
      </c>
    </row>
    <row r="72" spans="1:11" x14ac:dyDescent="0.2">
      <c r="A72" s="453" t="s">
        <v>139</v>
      </c>
      <c r="B72" s="447" t="s">
        <v>285</v>
      </c>
      <c r="C72" s="21" t="s">
        <v>284</v>
      </c>
      <c r="D72" s="21" t="s">
        <v>362</v>
      </c>
      <c r="E72" s="433">
        <v>1614</v>
      </c>
      <c r="F72" s="194">
        <v>993.87</v>
      </c>
      <c r="G72" s="194">
        <v>8140</v>
      </c>
      <c r="H72" s="23">
        <f t="shared" si="1"/>
        <v>0.1220970515970516</v>
      </c>
      <c r="I72" s="305">
        <v>66</v>
      </c>
      <c r="J72" s="25">
        <v>66</v>
      </c>
    </row>
    <row r="73" spans="1:11" x14ac:dyDescent="0.2">
      <c r="A73" s="454"/>
      <c r="B73" s="445"/>
      <c r="C73" s="21" t="s">
        <v>285</v>
      </c>
      <c r="D73" s="21" t="s">
        <v>363</v>
      </c>
      <c r="E73" s="434"/>
      <c r="F73" s="194">
        <v>2012.8</v>
      </c>
      <c r="G73" s="194">
        <v>8094</v>
      </c>
      <c r="H73" s="23">
        <f t="shared" si="1"/>
        <v>0.24867803311094638</v>
      </c>
      <c r="I73" s="305"/>
      <c r="J73" s="25">
        <v>66</v>
      </c>
      <c r="K73" s="110"/>
    </row>
    <row r="74" spans="1:11" x14ac:dyDescent="0.2">
      <c r="A74" s="454"/>
      <c r="B74" s="445"/>
      <c r="C74" s="21" t="s">
        <v>286</v>
      </c>
      <c r="D74" s="21" t="s">
        <v>364</v>
      </c>
      <c r="E74" s="434"/>
      <c r="F74" s="194">
        <v>2368.33</v>
      </c>
      <c r="G74" s="194">
        <v>8008</v>
      </c>
      <c r="H74" s="23">
        <f t="shared" si="1"/>
        <v>0.29574550449550446</v>
      </c>
      <c r="I74" s="305"/>
      <c r="J74" s="25">
        <v>66</v>
      </c>
    </row>
    <row r="75" spans="1:11" x14ac:dyDescent="0.2">
      <c r="A75" s="453" t="s">
        <v>140</v>
      </c>
      <c r="B75" s="447" t="s">
        <v>293</v>
      </c>
      <c r="C75" s="21" t="s">
        <v>292</v>
      </c>
      <c r="D75" s="21" t="s">
        <v>365</v>
      </c>
      <c r="E75" s="433">
        <v>1192</v>
      </c>
      <c r="F75" s="194">
        <v>774.19</v>
      </c>
      <c r="G75" s="194">
        <v>8267</v>
      </c>
      <c r="H75" s="23">
        <f t="shared" si="1"/>
        <v>9.3648239990322971E-2</v>
      </c>
      <c r="I75" s="305">
        <v>60</v>
      </c>
      <c r="J75" s="25">
        <v>60</v>
      </c>
    </row>
    <row r="76" spans="1:11" x14ac:dyDescent="0.2">
      <c r="A76" s="454"/>
      <c r="B76" s="445"/>
      <c r="C76" s="21" t="s">
        <v>293</v>
      </c>
      <c r="D76" s="21" t="s">
        <v>366</v>
      </c>
      <c r="E76" s="434"/>
      <c r="F76" s="194">
        <v>761.97</v>
      </c>
      <c r="G76" s="194">
        <v>3926</v>
      </c>
      <c r="H76" s="23">
        <f t="shared" si="1"/>
        <v>0.19408303616912889</v>
      </c>
      <c r="I76" s="305"/>
      <c r="J76" s="25">
        <v>30</v>
      </c>
      <c r="K76" s="110"/>
    </row>
    <row r="77" spans="1:11" x14ac:dyDescent="0.2">
      <c r="A77" s="454"/>
      <c r="B77" s="445"/>
      <c r="C77" s="21" t="s">
        <v>294</v>
      </c>
      <c r="D77" s="21" t="s">
        <v>367</v>
      </c>
      <c r="E77" s="434"/>
      <c r="F77" s="194">
        <v>1785.85</v>
      </c>
      <c r="G77" s="194">
        <v>8266</v>
      </c>
      <c r="H77" s="23">
        <f t="shared" si="1"/>
        <v>0.216047665134285</v>
      </c>
      <c r="I77" s="305"/>
      <c r="J77" s="25">
        <v>60</v>
      </c>
    </row>
    <row r="78" spans="1:11" x14ac:dyDescent="0.2">
      <c r="A78" s="453" t="s">
        <v>141</v>
      </c>
      <c r="B78" s="447" t="s">
        <v>295</v>
      </c>
      <c r="C78" s="244">
        <v>266</v>
      </c>
      <c r="D78" s="105" t="s">
        <v>368</v>
      </c>
      <c r="E78" s="433">
        <v>1495</v>
      </c>
      <c r="F78" s="219">
        <v>558.92999999999995</v>
      </c>
      <c r="G78" s="219">
        <v>3875</v>
      </c>
      <c r="H78" s="23">
        <f t="shared" si="1"/>
        <v>0.14423999999999998</v>
      </c>
      <c r="I78" s="306"/>
      <c r="J78" s="25">
        <v>30</v>
      </c>
      <c r="K78" s="110"/>
    </row>
    <row r="79" spans="1:11" x14ac:dyDescent="0.2">
      <c r="A79" s="453"/>
      <c r="B79" s="447"/>
      <c r="C79" s="244">
        <v>267</v>
      </c>
      <c r="D79" s="118" t="s">
        <v>369</v>
      </c>
      <c r="E79" s="433"/>
      <c r="F79" s="219">
        <v>996.7</v>
      </c>
      <c r="G79" s="219">
        <v>7985</v>
      </c>
      <c r="H79" s="23">
        <f t="shared" si="1"/>
        <v>0.12482154038822793</v>
      </c>
      <c r="I79" s="306"/>
      <c r="J79" s="25">
        <v>60</v>
      </c>
      <c r="K79" s="110"/>
    </row>
    <row r="80" spans="1:11" x14ac:dyDescent="0.2">
      <c r="A80" s="453"/>
      <c r="B80" s="447"/>
      <c r="C80" s="244">
        <v>268</v>
      </c>
      <c r="D80" s="118" t="s">
        <v>370</v>
      </c>
      <c r="E80" s="433"/>
      <c r="F80" s="219">
        <v>537.58000000000004</v>
      </c>
      <c r="G80" s="219">
        <v>3963</v>
      </c>
      <c r="H80" s="23">
        <f t="shared" si="1"/>
        <v>0.13564976028261419</v>
      </c>
      <c r="I80" s="306"/>
      <c r="J80" s="25">
        <v>30</v>
      </c>
      <c r="K80" s="110"/>
    </row>
    <row r="81" spans="1:14" x14ac:dyDescent="0.2">
      <c r="A81" s="454"/>
      <c r="B81" s="445"/>
      <c r="C81" s="21" t="s">
        <v>295</v>
      </c>
      <c r="D81" s="21" t="s">
        <v>371</v>
      </c>
      <c r="E81" s="434"/>
      <c r="F81" s="194">
        <v>790.79</v>
      </c>
      <c r="G81" s="194">
        <v>7750</v>
      </c>
      <c r="H81" s="23">
        <f t="shared" si="1"/>
        <v>0.1020374193548387</v>
      </c>
      <c r="I81" s="305"/>
      <c r="J81" s="25">
        <v>60</v>
      </c>
    </row>
    <row r="82" spans="1:14" x14ac:dyDescent="0.2">
      <c r="A82" s="453" t="s">
        <v>142</v>
      </c>
      <c r="B82" s="447" t="s">
        <v>297</v>
      </c>
      <c r="C82" s="21" t="s">
        <v>296</v>
      </c>
      <c r="D82" s="21" t="s">
        <v>373</v>
      </c>
      <c r="E82" s="433">
        <v>2106</v>
      </c>
      <c r="F82" s="194">
        <v>1958.58</v>
      </c>
      <c r="G82" s="194">
        <v>8008</v>
      </c>
      <c r="H82" s="23">
        <f t="shared" si="1"/>
        <v>0.24457792207792206</v>
      </c>
      <c r="I82" s="305"/>
      <c r="J82" s="25">
        <v>66</v>
      </c>
    </row>
    <row r="83" spans="1:14" x14ac:dyDescent="0.2">
      <c r="A83" s="454"/>
      <c r="B83" s="445"/>
      <c r="C83" s="21" t="s">
        <v>297</v>
      </c>
      <c r="D83" s="21" t="s">
        <v>374</v>
      </c>
      <c r="E83" s="434"/>
      <c r="F83" s="194">
        <v>992.44</v>
      </c>
      <c r="G83" s="194">
        <v>8014</v>
      </c>
      <c r="H83" s="23">
        <f t="shared" si="1"/>
        <v>0.12383828300474171</v>
      </c>
      <c r="I83" s="305">
        <v>66</v>
      </c>
      <c r="J83" s="25">
        <v>66</v>
      </c>
      <c r="K83" s="110"/>
    </row>
    <row r="84" spans="1:14" x14ac:dyDescent="0.2">
      <c r="A84" s="454"/>
      <c r="B84" s="445"/>
      <c r="C84" s="21" t="s">
        <v>298</v>
      </c>
      <c r="D84" s="21" t="s">
        <v>375</v>
      </c>
      <c r="E84" s="434"/>
      <c r="F84" s="194">
        <v>2023.46</v>
      </c>
      <c r="G84" s="194">
        <v>8099</v>
      </c>
      <c r="H84" s="23">
        <f t="shared" si="1"/>
        <v>0.24984072107667613</v>
      </c>
      <c r="I84" s="305"/>
      <c r="J84" s="25">
        <v>66</v>
      </c>
    </row>
    <row r="85" spans="1:14" x14ac:dyDescent="0.2">
      <c r="A85" s="454"/>
      <c r="B85" s="445"/>
      <c r="C85" s="21" t="s">
        <v>299</v>
      </c>
      <c r="D85" s="21" t="s">
        <v>376</v>
      </c>
      <c r="E85" s="434"/>
      <c r="F85" s="194">
        <v>1006.52</v>
      </c>
      <c r="G85" s="194">
        <v>7797</v>
      </c>
      <c r="H85" s="23">
        <f t="shared" si="1"/>
        <v>0.12909067590098755</v>
      </c>
      <c r="I85" s="305">
        <v>60</v>
      </c>
      <c r="J85" s="245">
        <v>60</v>
      </c>
    </row>
    <row r="86" spans="1:14" x14ac:dyDescent="0.2">
      <c r="A86" s="453" t="s">
        <v>143</v>
      </c>
      <c r="B86" s="447" t="s">
        <v>300</v>
      </c>
      <c r="C86" s="207">
        <v>276</v>
      </c>
      <c r="D86" s="207" t="s">
        <v>377</v>
      </c>
      <c r="E86" s="433">
        <v>1988</v>
      </c>
      <c r="F86" s="194">
        <v>469.87</v>
      </c>
      <c r="G86" s="194">
        <v>3875</v>
      </c>
      <c r="H86" s="23">
        <f t="shared" si="1"/>
        <v>0.12125677419354838</v>
      </c>
      <c r="I86" s="305">
        <v>30</v>
      </c>
      <c r="J86" s="25">
        <v>30</v>
      </c>
    </row>
    <row r="87" spans="1:14" x14ac:dyDescent="0.2">
      <c r="A87" s="453"/>
      <c r="B87" s="447"/>
      <c r="C87" s="207">
        <v>277</v>
      </c>
      <c r="D87" s="207" t="s">
        <v>378</v>
      </c>
      <c r="E87" s="433"/>
      <c r="F87" s="194">
        <v>465.55</v>
      </c>
      <c r="G87" s="194">
        <v>4110</v>
      </c>
      <c r="H87" s="23">
        <f t="shared" si="1"/>
        <v>0.11327250608272506</v>
      </c>
      <c r="I87" s="305">
        <v>30</v>
      </c>
      <c r="J87" s="25">
        <v>30</v>
      </c>
    </row>
    <row r="88" spans="1:14" x14ac:dyDescent="0.2">
      <c r="A88" s="454"/>
      <c r="B88" s="445"/>
      <c r="C88" s="21" t="s">
        <v>300</v>
      </c>
      <c r="D88" s="21" t="s">
        <v>379</v>
      </c>
      <c r="E88" s="434"/>
      <c r="F88" s="194">
        <v>261.51</v>
      </c>
      <c r="G88" s="194">
        <v>3875</v>
      </c>
      <c r="H88" s="23">
        <f t="shared" si="1"/>
        <v>6.7486451612903217E-2</v>
      </c>
      <c r="I88" s="305"/>
      <c r="J88" s="25">
        <v>30</v>
      </c>
      <c r="K88" s="110"/>
      <c r="L88" s="110"/>
    </row>
    <row r="89" spans="1:14" x14ac:dyDescent="0.2">
      <c r="A89" s="454"/>
      <c r="B89" s="445"/>
      <c r="C89" s="21" t="s">
        <v>301</v>
      </c>
      <c r="D89" s="21" t="s">
        <v>380</v>
      </c>
      <c r="E89" s="434"/>
      <c r="F89" s="194">
        <v>707.35</v>
      </c>
      <c r="G89" s="194">
        <v>3053</v>
      </c>
      <c r="H89" s="23">
        <f t="shared" si="1"/>
        <v>0.23169014084507042</v>
      </c>
      <c r="I89" s="305"/>
      <c r="J89" s="25">
        <v>20</v>
      </c>
    </row>
    <row r="90" spans="1:14" x14ac:dyDescent="0.2">
      <c r="A90" s="454"/>
      <c r="B90" s="445"/>
      <c r="C90" s="21" t="s">
        <v>302</v>
      </c>
      <c r="D90" s="21" t="s">
        <v>381</v>
      </c>
      <c r="E90" s="434"/>
      <c r="F90" s="194">
        <v>570.92999999999995</v>
      </c>
      <c r="G90" s="194">
        <v>3058</v>
      </c>
      <c r="H90" s="23">
        <f t="shared" si="1"/>
        <v>0.18670045781556571</v>
      </c>
      <c r="I90" s="305"/>
      <c r="J90" s="25">
        <v>20</v>
      </c>
    </row>
    <row r="91" spans="1:14" x14ac:dyDescent="0.2">
      <c r="A91" s="454"/>
      <c r="B91" s="445"/>
      <c r="C91" s="21" t="s">
        <v>303</v>
      </c>
      <c r="D91" s="21" t="s">
        <v>382</v>
      </c>
      <c r="E91" s="434"/>
      <c r="F91" s="194">
        <v>654.08000000000004</v>
      </c>
      <c r="G91" s="194">
        <v>3053</v>
      </c>
      <c r="H91" s="23">
        <f t="shared" si="1"/>
        <v>0.21424172944644612</v>
      </c>
      <c r="I91" s="305"/>
      <c r="J91" s="25">
        <v>20</v>
      </c>
    </row>
    <row r="92" spans="1:14" x14ac:dyDescent="0.2">
      <c r="A92" s="454"/>
      <c r="B92" s="445"/>
      <c r="C92" s="21" t="s">
        <v>304</v>
      </c>
      <c r="D92" s="21" t="s">
        <v>383</v>
      </c>
      <c r="E92" s="434"/>
      <c r="F92" s="194">
        <v>413.4</v>
      </c>
      <c r="G92" s="194">
        <v>3073</v>
      </c>
      <c r="H92" s="23">
        <f t="shared" si="1"/>
        <v>0.13452652131467621</v>
      </c>
      <c r="I92" s="305"/>
      <c r="J92" s="25">
        <v>20</v>
      </c>
    </row>
    <row r="93" spans="1:14" x14ac:dyDescent="0.2">
      <c r="A93" s="454"/>
      <c r="B93" s="445"/>
      <c r="C93" s="21" t="s">
        <v>305</v>
      </c>
      <c r="D93" s="21" t="s">
        <v>384</v>
      </c>
      <c r="E93" s="434"/>
      <c r="F93" s="194">
        <v>732.63</v>
      </c>
      <c r="G93" s="194">
        <v>3073</v>
      </c>
      <c r="H93" s="23">
        <f t="shared" si="1"/>
        <v>0.23840872111942726</v>
      </c>
      <c r="I93" s="305"/>
      <c r="J93" s="25">
        <v>20</v>
      </c>
    </row>
    <row r="94" spans="1:14" x14ac:dyDescent="0.2">
      <c r="A94" s="454"/>
      <c r="B94" s="445"/>
      <c r="C94" s="117" t="s">
        <v>306</v>
      </c>
      <c r="D94" s="21" t="s">
        <v>385</v>
      </c>
      <c r="E94" s="434"/>
      <c r="F94" s="194">
        <v>272.69</v>
      </c>
      <c r="G94" s="194">
        <v>3073</v>
      </c>
      <c r="H94" s="23">
        <f t="shared" si="1"/>
        <v>8.8737390172469899E-2</v>
      </c>
      <c r="I94" s="305">
        <v>20</v>
      </c>
      <c r="J94" s="25">
        <v>20</v>
      </c>
    </row>
    <row r="95" spans="1:14" x14ac:dyDescent="0.2">
      <c r="A95" s="455" t="s">
        <v>172</v>
      </c>
      <c r="B95" s="457">
        <v>285</v>
      </c>
      <c r="C95" s="117" t="s">
        <v>307</v>
      </c>
      <c r="D95" s="21" t="s">
        <v>386</v>
      </c>
      <c r="E95" s="435">
        <v>1329</v>
      </c>
      <c r="F95" s="194">
        <v>1969.16</v>
      </c>
      <c r="G95" s="194">
        <v>7985</v>
      </c>
      <c r="H95" s="23">
        <f t="shared" si="1"/>
        <v>0.24660738885410144</v>
      </c>
      <c r="I95" s="305"/>
      <c r="J95" s="25">
        <v>60</v>
      </c>
    </row>
    <row r="96" spans="1:14" x14ac:dyDescent="0.2">
      <c r="A96" s="456"/>
      <c r="B96" s="458"/>
      <c r="C96" s="117" t="s">
        <v>308</v>
      </c>
      <c r="D96" s="21" t="s">
        <v>387</v>
      </c>
      <c r="E96" s="436"/>
      <c r="F96" s="194">
        <v>494.84</v>
      </c>
      <c r="G96" s="194">
        <v>4243</v>
      </c>
      <c r="H96" s="23">
        <f t="shared" si="1"/>
        <v>0.11662502946028752</v>
      </c>
      <c r="I96" s="305">
        <v>31</v>
      </c>
      <c r="J96" s="25">
        <v>31</v>
      </c>
      <c r="K96" s="110"/>
      <c r="L96" s="33"/>
      <c r="M96" s="33"/>
      <c r="N96" s="33"/>
    </row>
    <row r="97" spans="1:14" x14ac:dyDescent="0.2">
      <c r="A97" s="456"/>
      <c r="B97" s="458"/>
      <c r="C97" s="117" t="s">
        <v>309</v>
      </c>
      <c r="D97" s="21" t="s">
        <v>388</v>
      </c>
      <c r="E97" s="437"/>
      <c r="F97" s="194">
        <v>890.99</v>
      </c>
      <c r="G97" s="194">
        <v>7985</v>
      </c>
      <c r="H97" s="23">
        <f t="shared" si="1"/>
        <v>0.11158296806512211</v>
      </c>
      <c r="I97" s="305"/>
      <c r="J97" s="25">
        <v>60</v>
      </c>
      <c r="L97" s="33"/>
      <c r="M97" s="33"/>
      <c r="N97" s="33"/>
    </row>
    <row r="98" spans="1:14" x14ac:dyDescent="0.2">
      <c r="A98" s="21" t="s">
        <v>144</v>
      </c>
      <c r="B98" s="47"/>
      <c r="C98" s="117">
        <v>287</v>
      </c>
      <c r="D98" s="117" t="s">
        <v>389</v>
      </c>
      <c r="E98" s="246">
        <v>240</v>
      </c>
      <c r="F98" s="194">
        <v>452</v>
      </c>
      <c r="G98" s="194">
        <v>3875</v>
      </c>
      <c r="H98" s="23">
        <f t="shared" si="1"/>
        <v>0.11664516129032258</v>
      </c>
      <c r="I98" s="305"/>
      <c r="J98" s="25">
        <v>30</v>
      </c>
      <c r="L98" s="33"/>
      <c r="M98" s="33"/>
      <c r="N98" s="33"/>
    </row>
    <row r="99" spans="1:14" x14ac:dyDescent="0.2">
      <c r="A99" s="21" t="s">
        <v>112</v>
      </c>
      <c r="B99" s="21"/>
      <c r="C99" s="117">
        <v>152</v>
      </c>
      <c r="D99" s="21" t="s">
        <v>418</v>
      </c>
      <c r="E99" s="246">
        <v>516</v>
      </c>
      <c r="F99" s="194">
        <v>2214</v>
      </c>
      <c r="G99" s="194">
        <v>10575</v>
      </c>
      <c r="H99" s="23">
        <f t="shared" si="1"/>
        <v>0.20936170212765959</v>
      </c>
      <c r="I99" s="305"/>
      <c r="J99" s="25">
        <v>74</v>
      </c>
      <c r="L99" s="34"/>
      <c r="M99" s="34"/>
      <c r="N99" s="33"/>
    </row>
    <row r="100" spans="1:14" x14ac:dyDescent="0.2">
      <c r="A100" s="21" t="s">
        <v>113</v>
      </c>
      <c r="B100" s="21"/>
      <c r="C100" s="117">
        <v>153</v>
      </c>
      <c r="D100" s="21" t="s">
        <v>445</v>
      </c>
      <c r="E100" s="246">
        <v>139</v>
      </c>
      <c r="F100" s="194">
        <v>543</v>
      </c>
      <c r="G100" s="194">
        <v>1934</v>
      </c>
      <c r="H100" s="23">
        <f t="shared" si="1"/>
        <v>0.28076525336091002</v>
      </c>
      <c r="I100" s="305"/>
      <c r="J100" s="25">
        <v>17</v>
      </c>
      <c r="L100" s="34"/>
      <c r="M100" s="34"/>
      <c r="N100" s="33"/>
    </row>
    <row r="101" spans="1:14" x14ac:dyDescent="0.2">
      <c r="A101" s="21" t="s">
        <v>114</v>
      </c>
      <c r="B101" s="21"/>
      <c r="C101" s="117">
        <v>154</v>
      </c>
      <c r="D101" s="21" t="s">
        <v>419</v>
      </c>
      <c r="E101" s="246">
        <v>355</v>
      </c>
      <c r="F101" s="194">
        <v>1250</v>
      </c>
      <c r="G101" s="194">
        <v>6744</v>
      </c>
      <c r="H101" s="23">
        <f t="shared" si="1"/>
        <v>0.18534994068801899</v>
      </c>
      <c r="I101" s="305"/>
      <c r="J101" s="25">
        <v>58</v>
      </c>
      <c r="L101" s="34"/>
      <c r="M101" s="34"/>
      <c r="N101" s="33"/>
    </row>
    <row r="102" spans="1:14" x14ac:dyDescent="0.2">
      <c r="A102" s="21" t="s">
        <v>115</v>
      </c>
      <c r="B102" s="21"/>
      <c r="C102" s="117">
        <v>156</v>
      </c>
      <c r="D102" s="21" t="s">
        <v>421</v>
      </c>
      <c r="E102" s="246">
        <v>336</v>
      </c>
      <c r="F102" s="194">
        <v>1260</v>
      </c>
      <c r="G102" s="194">
        <v>6744</v>
      </c>
      <c r="H102" s="23">
        <f t="shared" si="1"/>
        <v>0.18683274021352314</v>
      </c>
      <c r="I102" s="305"/>
      <c r="J102" s="25">
        <v>60</v>
      </c>
      <c r="L102" s="34"/>
      <c r="M102" s="34"/>
      <c r="N102" s="33"/>
    </row>
    <row r="103" spans="1:14" x14ac:dyDescent="0.2">
      <c r="A103" s="21" t="s">
        <v>117</v>
      </c>
      <c r="B103" s="21"/>
      <c r="C103" s="117">
        <v>161</v>
      </c>
      <c r="D103" s="21" t="s">
        <v>422</v>
      </c>
      <c r="E103" s="246">
        <v>220</v>
      </c>
      <c r="F103" s="194">
        <v>919</v>
      </c>
      <c r="G103" s="194">
        <v>5124</v>
      </c>
      <c r="H103" s="23">
        <f t="shared" si="1"/>
        <v>0.179352068696331</v>
      </c>
      <c r="I103" s="305"/>
      <c r="J103" s="25">
        <v>36</v>
      </c>
      <c r="L103" s="34"/>
      <c r="M103" s="34"/>
      <c r="N103" s="33"/>
    </row>
    <row r="104" spans="1:14" x14ac:dyDescent="0.2">
      <c r="A104" s="21" t="s">
        <v>118</v>
      </c>
      <c r="B104" s="21"/>
      <c r="C104" s="117">
        <v>165</v>
      </c>
      <c r="D104" s="21" t="s">
        <v>423</v>
      </c>
      <c r="E104" s="246">
        <v>440</v>
      </c>
      <c r="F104" s="194">
        <v>1901</v>
      </c>
      <c r="G104" s="194">
        <v>8382</v>
      </c>
      <c r="H104" s="23">
        <f t="shared" si="1"/>
        <v>0.22679551419708899</v>
      </c>
      <c r="I104" s="305"/>
      <c r="J104" s="25">
        <v>77</v>
      </c>
      <c r="L104" s="34"/>
      <c r="M104" s="34"/>
      <c r="N104" s="33"/>
    </row>
    <row r="105" spans="1:14" x14ac:dyDescent="0.2">
      <c r="A105" s="21" t="s">
        <v>119</v>
      </c>
      <c r="B105" s="21"/>
      <c r="C105" s="117">
        <v>166</v>
      </c>
      <c r="D105" s="21" t="s">
        <v>427</v>
      </c>
      <c r="E105" s="246">
        <v>513</v>
      </c>
      <c r="F105" s="194">
        <v>1707</v>
      </c>
      <c r="G105" s="194">
        <v>8425</v>
      </c>
      <c r="H105" s="23">
        <f t="shared" si="1"/>
        <v>0.20261127596439168</v>
      </c>
      <c r="I105" s="196"/>
      <c r="J105" s="25">
        <v>76</v>
      </c>
      <c r="L105" s="34"/>
      <c r="M105" s="34"/>
      <c r="N105" s="33"/>
    </row>
    <row r="106" spans="1:14" x14ac:dyDescent="0.2">
      <c r="A106" s="21" t="s">
        <v>120</v>
      </c>
      <c r="B106" s="21"/>
      <c r="C106" s="117">
        <v>167</v>
      </c>
      <c r="D106" s="21" t="s">
        <v>428</v>
      </c>
      <c r="E106" s="246">
        <v>485</v>
      </c>
      <c r="F106" s="194">
        <v>1676</v>
      </c>
      <c r="G106" s="194">
        <v>8312</v>
      </c>
      <c r="H106" s="23">
        <f t="shared" si="1"/>
        <v>0.2016361886429259</v>
      </c>
      <c r="I106" s="196"/>
      <c r="J106" s="25">
        <v>75</v>
      </c>
      <c r="L106" s="34"/>
      <c r="M106" s="34"/>
      <c r="N106" s="33"/>
    </row>
    <row r="107" spans="1:14" x14ac:dyDescent="0.2">
      <c r="A107" s="21" t="s">
        <v>121</v>
      </c>
      <c r="B107" s="21"/>
      <c r="C107" s="117">
        <v>168</v>
      </c>
      <c r="D107" s="21" t="s">
        <v>429</v>
      </c>
      <c r="E107" s="246">
        <v>775</v>
      </c>
      <c r="F107" s="194">
        <v>3027</v>
      </c>
      <c r="G107" s="194">
        <v>14143</v>
      </c>
      <c r="H107" s="23">
        <f t="shared" si="1"/>
        <v>0.21402814112988758</v>
      </c>
      <c r="I107" s="196"/>
      <c r="J107" s="25">
        <v>103</v>
      </c>
      <c r="L107" s="34"/>
      <c r="M107" s="34"/>
      <c r="N107" s="33"/>
    </row>
    <row r="108" spans="1:14" x14ac:dyDescent="0.2">
      <c r="A108" s="117">
        <v>6094</v>
      </c>
      <c r="B108" s="21"/>
      <c r="C108" s="117">
        <v>169</v>
      </c>
      <c r="D108" s="21" t="s">
        <v>437</v>
      </c>
      <c r="E108" s="246">
        <v>139</v>
      </c>
      <c r="F108" s="194">
        <v>454</v>
      </c>
      <c r="G108" s="194">
        <v>2300</v>
      </c>
      <c r="H108" s="23">
        <f t="shared" si="1"/>
        <v>0.19739130434782609</v>
      </c>
      <c r="I108" s="196"/>
      <c r="J108" s="25">
        <v>20</v>
      </c>
      <c r="L108" s="34"/>
      <c r="M108" s="34"/>
      <c r="N108" s="33"/>
    </row>
    <row r="109" spans="1:14" x14ac:dyDescent="0.2">
      <c r="A109" s="21" t="s">
        <v>122</v>
      </c>
      <c r="B109" s="21"/>
      <c r="C109" s="117">
        <v>171</v>
      </c>
      <c r="D109" s="21" t="s">
        <v>430</v>
      </c>
      <c r="E109" s="246">
        <v>125</v>
      </c>
      <c r="F109" s="194">
        <v>577</v>
      </c>
      <c r="G109" s="194">
        <v>2240</v>
      </c>
      <c r="H109" s="23">
        <f t="shared" si="1"/>
        <v>0.25758928571428569</v>
      </c>
      <c r="I109" s="196"/>
      <c r="J109" s="25">
        <v>20</v>
      </c>
      <c r="L109" s="34"/>
      <c r="M109" s="34"/>
      <c r="N109" s="33"/>
    </row>
    <row r="110" spans="1:14" x14ac:dyDescent="0.2">
      <c r="A110" s="21" t="s">
        <v>123</v>
      </c>
      <c r="B110" s="21"/>
      <c r="C110" s="117">
        <v>172</v>
      </c>
      <c r="D110" s="21" t="s">
        <v>431</v>
      </c>
      <c r="E110" s="246">
        <v>161</v>
      </c>
      <c r="F110" s="194">
        <v>391</v>
      </c>
      <c r="G110" s="194">
        <v>2240</v>
      </c>
      <c r="H110" s="23">
        <f t="shared" si="1"/>
        <v>0.17455357142857142</v>
      </c>
      <c r="I110" s="196"/>
      <c r="J110" s="25">
        <v>20</v>
      </c>
      <c r="L110" s="34"/>
      <c r="M110" s="34"/>
      <c r="N110" s="33"/>
    </row>
    <row r="111" spans="1:14" x14ac:dyDescent="0.2">
      <c r="A111" s="21" t="s">
        <v>124</v>
      </c>
      <c r="B111" s="21"/>
      <c r="C111" s="117">
        <v>188</v>
      </c>
      <c r="D111" s="21" t="s">
        <v>432</v>
      </c>
      <c r="E111" s="246">
        <v>118</v>
      </c>
      <c r="F111" s="194">
        <v>192</v>
      </c>
      <c r="G111" s="194">
        <v>1942</v>
      </c>
      <c r="H111" s="23">
        <f t="shared" si="1"/>
        <v>9.8867147270854785E-2</v>
      </c>
      <c r="I111" s="196"/>
      <c r="J111" s="25">
        <v>17</v>
      </c>
      <c r="L111" s="34"/>
      <c r="M111" s="34"/>
      <c r="N111" s="33"/>
    </row>
    <row r="112" spans="1:14" x14ac:dyDescent="0.2">
      <c r="A112" s="21" t="s">
        <v>125</v>
      </c>
      <c r="B112" s="21"/>
      <c r="C112" s="117">
        <v>189</v>
      </c>
      <c r="D112" s="21" t="s">
        <v>433</v>
      </c>
      <c r="E112" s="246">
        <v>112</v>
      </c>
      <c r="F112" s="194">
        <v>165</v>
      </c>
      <c r="G112" s="194">
        <v>1885</v>
      </c>
      <c r="H112" s="23">
        <f t="shared" si="1"/>
        <v>8.7533156498673742E-2</v>
      </c>
      <c r="I112" s="307">
        <v>17</v>
      </c>
      <c r="J112" s="222">
        <v>17</v>
      </c>
      <c r="L112" s="34"/>
      <c r="M112" s="34"/>
      <c r="N112" s="33"/>
    </row>
    <row r="113" spans="1:14" x14ac:dyDescent="0.2">
      <c r="A113" s="21" t="s">
        <v>126</v>
      </c>
      <c r="B113" s="21"/>
      <c r="C113" s="117">
        <v>191</v>
      </c>
      <c r="D113" s="21" t="s">
        <v>434</v>
      </c>
      <c r="E113" s="246">
        <v>103</v>
      </c>
      <c r="F113" s="194">
        <v>482</v>
      </c>
      <c r="G113" s="194">
        <v>1932</v>
      </c>
      <c r="H113" s="23">
        <f t="shared" si="1"/>
        <v>0.24948240165631469</v>
      </c>
      <c r="I113" s="307"/>
      <c r="J113" s="223">
        <v>17</v>
      </c>
      <c r="L113" s="34"/>
      <c r="M113" s="34"/>
      <c r="N113" s="33"/>
    </row>
    <row r="114" spans="1:14" x14ac:dyDescent="0.2">
      <c r="A114" s="21" t="s">
        <v>127</v>
      </c>
      <c r="B114" s="21"/>
      <c r="C114" s="117">
        <v>192</v>
      </c>
      <c r="D114" s="21" t="s">
        <v>435</v>
      </c>
      <c r="E114" s="246">
        <v>85</v>
      </c>
      <c r="F114" s="194">
        <v>517</v>
      </c>
      <c r="G114" s="194">
        <v>1885</v>
      </c>
      <c r="H114" s="23">
        <f t="shared" si="1"/>
        <v>0.27427055702917774</v>
      </c>
      <c r="I114" s="196"/>
      <c r="J114" s="25">
        <v>17</v>
      </c>
      <c r="L114" s="34"/>
      <c r="M114" s="34"/>
      <c r="N114" s="33"/>
    </row>
    <row r="115" spans="1:14" x14ac:dyDescent="0.2">
      <c r="A115" s="21" t="s">
        <v>128</v>
      </c>
      <c r="B115" s="21"/>
      <c r="C115" s="117">
        <v>193</v>
      </c>
      <c r="D115" s="21" t="s">
        <v>436</v>
      </c>
      <c r="E115" s="246">
        <v>131</v>
      </c>
      <c r="F115" s="194">
        <v>487</v>
      </c>
      <c r="G115" s="194">
        <v>1932</v>
      </c>
      <c r="H115" s="23">
        <f t="shared" si="1"/>
        <v>0.25207039337474119</v>
      </c>
      <c r="I115" s="196"/>
      <c r="J115" s="25">
        <v>17</v>
      </c>
      <c r="L115" s="34"/>
      <c r="M115" s="34"/>
      <c r="N115" s="33"/>
    </row>
    <row r="116" spans="1:14" x14ac:dyDescent="0.2">
      <c r="A116" s="117">
        <v>6069</v>
      </c>
      <c r="B116" s="21"/>
      <c r="C116" s="117">
        <v>145</v>
      </c>
      <c r="D116" s="21" t="s">
        <v>483</v>
      </c>
      <c r="E116" s="246">
        <v>193</v>
      </c>
      <c r="F116" s="194">
        <v>213</v>
      </c>
      <c r="G116" s="194">
        <v>3785</v>
      </c>
      <c r="H116" s="23">
        <f t="shared" si="1"/>
        <v>5.6274768824306473E-2</v>
      </c>
      <c r="I116" s="196">
        <v>22</v>
      </c>
      <c r="J116" s="25">
        <v>22</v>
      </c>
      <c r="L116" s="34"/>
      <c r="M116" s="34"/>
      <c r="N116" s="33"/>
    </row>
    <row r="117" spans="1:14" x14ac:dyDescent="0.2">
      <c r="A117" s="21" t="s">
        <v>146</v>
      </c>
      <c r="B117" s="21"/>
      <c r="C117" s="117">
        <v>146</v>
      </c>
      <c r="D117" s="21" t="s">
        <v>438</v>
      </c>
      <c r="E117" s="246">
        <v>387</v>
      </c>
      <c r="F117" s="194">
        <v>1086</v>
      </c>
      <c r="G117" s="194">
        <v>6379</v>
      </c>
      <c r="H117" s="23">
        <f t="shared" ref="H117:H125" si="2">+F117/G117</f>
        <v>0.17024612008151749</v>
      </c>
      <c r="I117" s="196"/>
      <c r="J117" s="25">
        <v>40</v>
      </c>
      <c r="L117" s="33"/>
      <c r="M117" s="33"/>
      <c r="N117" s="33"/>
    </row>
    <row r="118" spans="1:14" x14ac:dyDescent="0.2">
      <c r="A118" s="21" t="s">
        <v>158</v>
      </c>
      <c r="B118" s="21"/>
      <c r="C118" s="117">
        <v>155</v>
      </c>
      <c r="D118" s="21" t="s">
        <v>420</v>
      </c>
      <c r="E118" s="246">
        <v>441</v>
      </c>
      <c r="F118" s="194">
        <v>975</v>
      </c>
      <c r="G118" s="194">
        <v>6728</v>
      </c>
      <c r="H118" s="23">
        <f t="shared" si="2"/>
        <v>0.14491676575505349</v>
      </c>
      <c r="I118" s="196"/>
      <c r="J118" s="25">
        <v>46</v>
      </c>
      <c r="L118" s="33"/>
      <c r="M118" s="33"/>
      <c r="N118" s="33"/>
    </row>
    <row r="119" spans="1:14" x14ac:dyDescent="0.2">
      <c r="A119" s="21" t="s">
        <v>188</v>
      </c>
      <c r="B119" s="21"/>
      <c r="C119" s="117">
        <v>151</v>
      </c>
      <c r="D119" s="21" t="s">
        <v>439</v>
      </c>
      <c r="E119" s="246">
        <v>357</v>
      </c>
      <c r="F119" s="194">
        <v>1038</v>
      </c>
      <c r="G119" s="194">
        <v>5319</v>
      </c>
      <c r="H119" s="23">
        <f t="shared" si="2"/>
        <v>0.19514946418499718</v>
      </c>
      <c r="I119" s="196"/>
      <c r="J119" s="25">
        <v>48</v>
      </c>
      <c r="L119" s="33"/>
      <c r="M119" s="33"/>
      <c r="N119" s="33"/>
    </row>
    <row r="120" spans="1:14" x14ac:dyDescent="0.2">
      <c r="A120" s="21" t="s">
        <v>189</v>
      </c>
      <c r="B120" s="21"/>
      <c r="C120" s="117">
        <v>148</v>
      </c>
      <c r="D120" s="21" t="s">
        <v>440</v>
      </c>
      <c r="E120" s="246">
        <v>293</v>
      </c>
      <c r="F120" s="194">
        <v>1094</v>
      </c>
      <c r="G120" s="194">
        <v>5319</v>
      </c>
      <c r="H120" s="23">
        <f t="shared" si="2"/>
        <v>0.20567775897725135</v>
      </c>
      <c r="I120" s="196"/>
      <c r="J120" s="25">
        <v>48</v>
      </c>
      <c r="L120" s="33"/>
      <c r="M120" s="33"/>
      <c r="N120" s="33"/>
    </row>
    <row r="121" spans="1:14" x14ac:dyDescent="0.2">
      <c r="A121" s="21" t="s">
        <v>190</v>
      </c>
      <c r="B121" s="21"/>
      <c r="C121" s="117">
        <v>147</v>
      </c>
      <c r="D121" s="21" t="s">
        <v>441</v>
      </c>
      <c r="E121" s="246">
        <v>277</v>
      </c>
      <c r="F121" s="194">
        <v>1239</v>
      </c>
      <c r="G121" s="194">
        <v>5408</v>
      </c>
      <c r="H121" s="23">
        <f t="shared" si="2"/>
        <v>0.22910502958579881</v>
      </c>
      <c r="I121" s="196"/>
      <c r="J121" s="25">
        <v>47</v>
      </c>
    </row>
    <row r="122" spans="1:14" x14ac:dyDescent="0.2">
      <c r="A122" s="21" t="s">
        <v>191</v>
      </c>
      <c r="B122" s="21"/>
      <c r="C122" s="117">
        <v>137</v>
      </c>
      <c r="D122" s="21" t="s">
        <v>442</v>
      </c>
      <c r="E122" s="246">
        <v>347</v>
      </c>
      <c r="F122" s="194">
        <v>1177</v>
      </c>
      <c r="G122" s="194">
        <v>5439</v>
      </c>
      <c r="H122" s="23">
        <f t="shared" si="2"/>
        <v>0.2164000735429307</v>
      </c>
      <c r="I122" s="196"/>
      <c r="J122" s="25">
        <v>48</v>
      </c>
    </row>
    <row r="123" spans="1:14" x14ac:dyDescent="0.2">
      <c r="A123" s="21" t="s">
        <v>192</v>
      </c>
      <c r="B123" s="21"/>
      <c r="C123" s="117" t="s">
        <v>486</v>
      </c>
      <c r="D123" s="21" t="s">
        <v>443</v>
      </c>
      <c r="E123" s="246">
        <v>258</v>
      </c>
      <c r="F123" s="194">
        <v>1107</v>
      </c>
      <c r="G123" s="194">
        <v>5439</v>
      </c>
      <c r="H123" s="23">
        <f t="shared" si="2"/>
        <v>0.20353006067291782</v>
      </c>
      <c r="I123" s="26"/>
      <c r="J123" s="25">
        <v>48</v>
      </c>
    </row>
    <row r="124" spans="1:14" x14ac:dyDescent="0.2">
      <c r="A124" s="21" t="s">
        <v>193</v>
      </c>
      <c r="B124" s="21"/>
      <c r="C124" s="117">
        <v>149</v>
      </c>
      <c r="D124" s="21" t="s">
        <v>444</v>
      </c>
      <c r="E124" s="246">
        <v>270</v>
      </c>
      <c r="F124" s="194">
        <v>953</v>
      </c>
      <c r="G124" s="194">
        <v>5319</v>
      </c>
      <c r="H124" s="23">
        <f t="shared" si="2"/>
        <v>0.17916901673246852</v>
      </c>
      <c r="I124" s="26"/>
      <c r="J124" s="25">
        <v>48</v>
      </c>
    </row>
    <row r="125" spans="1:14" x14ac:dyDescent="0.2">
      <c r="A125" s="462">
        <v>6046</v>
      </c>
      <c r="B125" s="461" t="s">
        <v>202</v>
      </c>
      <c r="C125" s="117" t="s">
        <v>202</v>
      </c>
      <c r="D125" s="21" t="s">
        <v>411</v>
      </c>
      <c r="E125" s="433">
        <v>678</v>
      </c>
      <c r="F125" s="194">
        <v>711</v>
      </c>
      <c r="G125" s="194">
        <v>3805</v>
      </c>
      <c r="H125" s="23">
        <f t="shared" si="2"/>
        <v>0.18685939553219449</v>
      </c>
      <c r="I125" s="26"/>
      <c r="J125" s="25">
        <v>29</v>
      </c>
      <c r="K125" s="110"/>
    </row>
    <row r="126" spans="1:14" x14ac:dyDescent="0.2">
      <c r="A126" s="463"/>
      <c r="B126" s="460"/>
      <c r="C126" s="117" t="s">
        <v>206</v>
      </c>
      <c r="D126" s="21" t="s">
        <v>412</v>
      </c>
      <c r="E126" s="434"/>
      <c r="F126" s="194">
        <v>873</v>
      </c>
      <c r="G126" s="194">
        <v>8092</v>
      </c>
      <c r="H126" s="23">
        <f t="shared" ref="H126:H134" si="3">+F126/G126</f>
        <v>0.1078843302026693</v>
      </c>
      <c r="I126" s="26"/>
      <c r="J126" s="25">
        <v>54</v>
      </c>
      <c r="K126" s="110"/>
    </row>
    <row r="127" spans="1:14" x14ac:dyDescent="0.2">
      <c r="A127" s="462">
        <v>6047</v>
      </c>
      <c r="B127" s="461" t="s">
        <v>203</v>
      </c>
      <c r="C127" s="117" t="s">
        <v>203</v>
      </c>
      <c r="D127" s="21" t="s">
        <v>413</v>
      </c>
      <c r="E127" s="433">
        <v>618</v>
      </c>
      <c r="F127" s="194">
        <v>563</v>
      </c>
      <c r="G127" s="194">
        <v>3765</v>
      </c>
      <c r="H127" s="23">
        <f t="shared" si="3"/>
        <v>0.14953519256308101</v>
      </c>
      <c r="I127" s="26"/>
      <c r="J127" s="25">
        <v>29</v>
      </c>
      <c r="K127" s="110"/>
    </row>
    <row r="128" spans="1:14" x14ac:dyDescent="0.2">
      <c r="A128" s="463"/>
      <c r="B128" s="460"/>
      <c r="C128" s="117" t="s">
        <v>208</v>
      </c>
      <c r="D128" s="21" t="s">
        <v>414</v>
      </c>
      <c r="E128" s="434"/>
      <c r="F128" s="194">
        <v>2122</v>
      </c>
      <c r="G128" s="194">
        <v>7928</v>
      </c>
      <c r="H128" s="23">
        <f t="shared" si="3"/>
        <v>0.26765893037336025</v>
      </c>
      <c r="I128" s="26"/>
      <c r="J128" s="25">
        <v>54</v>
      </c>
    </row>
    <row r="129" spans="1:11" x14ac:dyDescent="0.2">
      <c r="A129" s="459">
        <v>6048</v>
      </c>
      <c r="B129" s="461" t="s">
        <v>205</v>
      </c>
      <c r="C129" s="117" t="s">
        <v>204</v>
      </c>
      <c r="D129" s="21" t="s">
        <v>415</v>
      </c>
      <c r="E129" s="433">
        <v>838</v>
      </c>
      <c r="F129" s="194">
        <v>720.01</v>
      </c>
      <c r="G129" s="194">
        <v>3761</v>
      </c>
      <c r="H129" s="23">
        <f t="shared" si="3"/>
        <v>0.19144110608880616</v>
      </c>
      <c r="I129" s="26"/>
      <c r="J129" s="256">
        <v>27</v>
      </c>
    </row>
    <row r="130" spans="1:11" x14ac:dyDescent="0.2">
      <c r="A130" s="460"/>
      <c r="B130" s="460"/>
      <c r="C130" s="117" t="s">
        <v>205</v>
      </c>
      <c r="D130" s="21" t="s">
        <v>416</v>
      </c>
      <c r="E130" s="434"/>
      <c r="F130" s="194">
        <v>631.05999999999995</v>
      </c>
      <c r="G130" s="194">
        <v>3761</v>
      </c>
      <c r="H130" s="23">
        <f t="shared" si="3"/>
        <v>0.16779048125498536</v>
      </c>
      <c r="I130" s="26"/>
      <c r="J130" s="256">
        <v>29</v>
      </c>
    </row>
    <row r="131" spans="1:11" x14ac:dyDescent="0.2">
      <c r="A131" s="460"/>
      <c r="B131" s="460"/>
      <c r="C131" s="117" t="s">
        <v>207</v>
      </c>
      <c r="D131" s="21" t="s">
        <v>417</v>
      </c>
      <c r="E131" s="434"/>
      <c r="F131" s="194">
        <v>1905.93</v>
      </c>
      <c r="G131" s="194">
        <v>7477</v>
      </c>
      <c r="H131" s="23">
        <f t="shared" si="3"/>
        <v>0.25490571084659625</v>
      </c>
      <c r="I131" s="26"/>
      <c r="J131" s="256">
        <v>53</v>
      </c>
      <c r="K131" s="110"/>
    </row>
    <row r="132" spans="1:11" x14ac:dyDescent="0.2">
      <c r="A132" s="345">
        <v>6103</v>
      </c>
      <c r="B132" s="345" t="s">
        <v>491</v>
      </c>
      <c r="C132" s="324"/>
      <c r="D132" s="326" t="s">
        <v>492</v>
      </c>
      <c r="E132" s="346">
        <v>341</v>
      </c>
      <c r="F132" s="317">
        <v>748</v>
      </c>
      <c r="G132" s="317">
        <v>7164</v>
      </c>
      <c r="H132" s="347">
        <f t="shared" si="3"/>
        <v>0.1044109436069235</v>
      </c>
      <c r="I132" s="269"/>
      <c r="J132" s="348">
        <v>45</v>
      </c>
      <c r="K132" s="110"/>
    </row>
    <row r="133" spans="1:11" x14ac:dyDescent="0.2">
      <c r="A133" s="322"/>
      <c r="B133" s="320" t="s">
        <v>509</v>
      </c>
      <c r="C133" s="321"/>
      <c r="D133" s="323" t="s">
        <v>514</v>
      </c>
      <c r="E133" s="325">
        <v>151</v>
      </c>
      <c r="F133" s="194">
        <v>23</v>
      </c>
      <c r="G133" s="194">
        <v>4061</v>
      </c>
      <c r="H133" s="23">
        <f t="shared" si="3"/>
        <v>5.6636296478699824E-3</v>
      </c>
      <c r="I133" s="26"/>
      <c r="J133" s="25">
        <v>24</v>
      </c>
      <c r="K133" s="110"/>
    </row>
    <row r="134" spans="1:11" x14ac:dyDescent="0.2">
      <c r="A134" s="394"/>
      <c r="B134" s="395" t="s">
        <v>528</v>
      </c>
      <c r="C134" s="385"/>
      <c r="D134" s="105" t="s">
        <v>529</v>
      </c>
      <c r="E134" s="386">
        <v>145</v>
      </c>
      <c r="F134" s="194">
        <v>54</v>
      </c>
      <c r="G134" s="194">
        <v>4424</v>
      </c>
      <c r="H134" s="23">
        <f t="shared" si="3"/>
        <v>1.2206148282097649E-2</v>
      </c>
      <c r="I134" s="26"/>
      <c r="J134" s="128">
        <v>31</v>
      </c>
      <c r="K134" s="110"/>
    </row>
    <row r="135" spans="1:11" x14ac:dyDescent="0.2">
      <c r="A135" s="394"/>
      <c r="B135" s="357" t="s">
        <v>512</v>
      </c>
      <c r="C135" s="358"/>
      <c r="D135" s="359" t="s">
        <v>513</v>
      </c>
      <c r="E135" s="360">
        <v>190</v>
      </c>
      <c r="F135" s="194">
        <v>43</v>
      </c>
      <c r="G135" s="194">
        <v>4851</v>
      </c>
      <c r="H135" s="23">
        <f>+F135/G135</f>
        <v>8.8641517212945786E-3</v>
      </c>
      <c r="I135" s="26"/>
      <c r="J135" s="256">
        <v>31</v>
      </c>
      <c r="K135" s="110"/>
    </row>
    <row r="136" spans="1:11" x14ac:dyDescent="0.2">
      <c r="A136" s="361"/>
      <c r="B136" s="361"/>
      <c r="C136" s="327"/>
      <c r="D136" s="362"/>
      <c r="E136" s="363"/>
      <c r="F136" s="364"/>
      <c r="G136" s="364"/>
      <c r="H136" s="365"/>
      <c r="I136" s="366"/>
      <c r="J136" s="387"/>
      <c r="K136" s="110"/>
    </row>
    <row r="137" spans="1:11" x14ac:dyDescent="0.2">
      <c r="A137" s="388"/>
      <c r="B137" s="388"/>
      <c r="C137" s="389"/>
      <c r="D137" s="390"/>
      <c r="E137" s="391"/>
      <c r="F137" s="364"/>
      <c r="G137" s="364"/>
      <c r="H137" s="392"/>
      <c r="I137" s="221"/>
      <c r="J137" s="393"/>
      <c r="K137" s="110"/>
    </row>
    <row r="138" spans="1:11" x14ac:dyDescent="0.2">
      <c r="A138" s="361"/>
      <c r="B138" s="361"/>
      <c r="C138" s="327"/>
      <c r="D138" s="362"/>
      <c r="E138" s="363"/>
      <c r="F138" s="364"/>
      <c r="G138" s="364"/>
      <c r="H138" s="365"/>
      <c r="I138" s="366"/>
      <c r="J138" s="381"/>
      <c r="K138" s="110"/>
    </row>
    <row r="139" spans="1:11" x14ac:dyDescent="0.2">
      <c r="G139" s="252"/>
      <c r="J139" s="119"/>
    </row>
    <row r="140" spans="1:11" x14ac:dyDescent="0.2">
      <c r="J140" s="119"/>
    </row>
  </sheetData>
  <autoFilter ref="A3:N132" xr:uid="{00000000-0009-0000-0000-000009000000}"/>
  <mergeCells count="92">
    <mergeCell ref="A129:A131"/>
    <mergeCell ref="B129:B131"/>
    <mergeCell ref="A125:A126"/>
    <mergeCell ref="B125:B126"/>
    <mergeCell ref="A127:A128"/>
    <mergeCell ref="B127:B128"/>
    <mergeCell ref="A72:A74"/>
    <mergeCell ref="B72:B74"/>
    <mergeCell ref="A75:A77"/>
    <mergeCell ref="B75:B77"/>
    <mergeCell ref="A86:A94"/>
    <mergeCell ref="B86:B94"/>
    <mergeCell ref="A82:A85"/>
    <mergeCell ref="B82:B85"/>
    <mergeCell ref="A78:A81"/>
    <mergeCell ref="B78:B81"/>
    <mergeCell ref="A62:A64"/>
    <mergeCell ref="B62:B64"/>
    <mergeCell ref="A65:A71"/>
    <mergeCell ref="B65:B71"/>
    <mergeCell ref="A59:A61"/>
    <mergeCell ref="B59:B61"/>
    <mergeCell ref="A52:A54"/>
    <mergeCell ref="B52:B54"/>
    <mergeCell ref="A55:A56"/>
    <mergeCell ref="B55:B56"/>
    <mergeCell ref="A41:A43"/>
    <mergeCell ref="B41:B43"/>
    <mergeCell ref="A44:A45"/>
    <mergeCell ref="B44:B45"/>
    <mergeCell ref="A49:A51"/>
    <mergeCell ref="B49:B51"/>
    <mergeCell ref="A57:A58"/>
    <mergeCell ref="B57:B58"/>
    <mergeCell ref="A23:A24"/>
    <mergeCell ref="B23:B24"/>
    <mergeCell ref="A95:A97"/>
    <mergeCell ref="B95:B97"/>
    <mergeCell ref="A33:A37"/>
    <mergeCell ref="B33:B37"/>
    <mergeCell ref="A38:A40"/>
    <mergeCell ref="B38:B40"/>
    <mergeCell ref="A25:A29"/>
    <mergeCell ref="B25:B29"/>
    <mergeCell ref="A30:A32"/>
    <mergeCell ref="B30:B32"/>
    <mergeCell ref="A46:A48"/>
    <mergeCell ref="B46:B48"/>
    <mergeCell ref="E21:E22"/>
    <mergeCell ref="A1:J1"/>
    <mergeCell ref="A2:J2"/>
    <mergeCell ref="A4:A7"/>
    <mergeCell ref="B4:B7"/>
    <mergeCell ref="A18:A20"/>
    <mergeCell ref="B18:B20"/>
    <mergeCell ref="A8:A11"/>
    <mergeCell ref="B12:B15"/>
    <mergeCell ref="B8:B11"/>
    <mergeCell ref="A12:A15"/>
    <mergeCell ref="A21:A22"/>
    <mergeCell ref="B21:B22"/>
    <mergeCell ref="A16:A17"/>
    <mergeCell ref="B16:B17"/>
    <mergeCell ref="E4:E7"/>
    <mergeCell ref="E8:E11"/>
    <mergeCell ref="E12:E15"/>
    <mergeCell ref="E16:E17"/>
    <mergeCell ref="E18:E20"/>
    <mergeCell ref="E57:E58"/>
    <mergeCell ref="E23:E24"/>
    <mergeCell ref="E25:E29"/>
    <mergeCell ref="E30:E32"/>
    <mergeCell ref="E33:E37"/>
    <mergeCell ref="E38:E40"/>
    <mergeCell ref="E41:E43"/>
    <mergeCell ref="E44:E45"/>
    <mergeCell ref="E46:E48"/>
    <mergeCell ref="E49:E51"/>
    <mergeCell ref="E52:E54"/>
    <mergeCell ref="E55:E56"/>
    <mergeCell ref="E129:E131"/>
    <mergeCell ref="E59:E61"/>
    <mergeCell ref="E62:E64"/>
    <mergeCell ref="E65:E71"/>
    <mergeCell ref="E72:E74"/>
    <mergeCell ref="E75:E77"/>
    <mergeCell ref="E78:E81"/>
    <mergeCell ref="E82:E85"/>
    <mergeCell ref="E86:E94"/>
    <mergeCell ref="E95:E97"/>
    <mergeCell ref="E125:E126"/>
    <mergeCell ref="E127:E128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69" fitToHeight="0" orientation="portrait" verticalDpi="300" r:id="rId1"/>
  <headerFooter alignWithMargins="0">
    <oddFooter>&amp;R&amp;P/&amp;N oldal</oddFooter>
  </headerFooter>
  <colBreaks count="1" manualBreakCount="1">
    <brk id="10" max="1048575" man="1"/>
  </colBreaks>
  <cellWatches>
    <cellWatch r="H3"/>
  </cellWatch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F134"/>
  <sheetViews>
    <sheetView view="pageBreakPreview" zoomScaleNormal="82" workbookViewId="0">
      <pane xSplit="3" ySplit="3" topLeftCell="F106" activePane="bottomRight" state="frozen"/>
      <selection pane="topRight" activeCell="D1" sqref="D1"/>
      <selection pane="bottomLeft" activeCell="A4" sqref="A4"/>
      <selection pane="bottomRight" activeCell="M132" sqref="M132"/>
    </sheetView>
  </sheetViews>
  <sheetFormatPr defaultRowHeight="12.75" x14ac:dyDescent="0.2"/>
  <cols>
    <col min="1" max="2" width="10.28515625" style="31" customWidth="1"/>
    <col min="3" max="3" width="8.28515625" style="31" customWidth="1"/>
    <col min="4" max="4" width="13" style="31" customWidth="1"/>
    <col min="5" max="6" width="20.5703125" style="31" customWidth="1"/>
    <col min="7" max="7" width="9.85546875" style="217" customWidth="1"/>
    <col min="8" max="8" width="10.28515625" style="217" customWidth="1"/>
    <col min="9" max="9" width="16" style="31" customWidth="1"/>
    <col min="10" max="10" width="12.5703125" style="31" customWidth="1"/>
    <col min="11" max="11" width="10.7109375" style="32" customWidth="1"/>
    <col min="12" max="12" width="13.140625" style="33" customWidth="1"/>
    <col min="13" max="13" width="11.42578125" style="217" customWidth="1"/>
    <col min="14" max="14" width="10.42578125" style="31" customWidth="1"/>
    <col min="15" max="15" width="9.140625" style="31"/>
    <col min="16" max="16" width="9.5703125" style="217" customWidth="1"/>
    <col min="17" max="17" width="9.140625" style="33"/>
    <col min="18" max="19" width="10" style="33" bestFit="1" customWidth="1"/>
    <col min="20" max="162" width="9.140625" style="33"/>
    <col min="163" max="16384" width="9.140625" style="31"/>
  </cols>
  <sheetData>
    <row r="1" spans="1:162" ht="40.5" customHeight="1" x14ac:dyDescent="0.25">
      <c r="A1" s="488" t="s">
        <v>209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9"/>
      <c r="M1" s="489"/>
      <c r="N1" s="489"/>
      <c r="O1" s="489"/>
      <c r="P1" s="489"/>
    </row>
    <row r="2" spans="1:162" s="65" customFormat="1" ht="24.95" customHeight="1" thickBot="1" x14ac:dyDescent="0.25">
      <c r="A2" s="419" t="s">
        <v>527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90"/>
      <c r="M2" s="491"/>
      <c r="N2" s="491"/>
      <c r="O2" s="491"/>
      <c r="P2" s="491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68"/>
      <c r="EW2" s="168"/>
      <c r="EX2" s="168"/>
      <c r="EY2" s="168"/>
      <c r="EZ2" s="168"/>
      <c r="FA2" s="168"/>
      <c r="FB2" s="168"/>
      <c r="FC2" s="168"/>
      <c r="FD2" s="168"/>
      <c r="FE2" s="168"/>
      <c r="FF2" s="168"/>
    </row>
    <row r="3" spans="1:162" s="94" customFormat="1" ht="81" customHeight="1" thickBot="1" x14ac:dyDescent="0.25">
      <c r="A3" s="258" t="s">
        <v>311</v>
      </c>
      <c r="B3" s="259" t="s">
        <v>311</v>
      </c>
      <c r="C3" s="260" t="s">
        <v>314</v>
      </c>
      <c r="D3" s="261" t="s">
        <v>104</v>
      </c>
      <c r="E3" s="259" t="s">
        <v>346</v>
      </c>
      <c r="F3" s="259" t="s">
        <v>372</v>
      </c>
      <c r="G3" s="259" t="s">
        <v>315</v>
      </c>
      <c r="H3" s="259" t="s">
        <v>350</v>
      </c>
      <c r="I3" s="259" t="s">
        <v>316</v>
      </c>
      <c r="J3" s="259" t="s">
        <v>317</v>
      </c>
      <c r="K3" s="262" t="s">
        <v>490</v>
      </c>
      <c r="L3" s="261" t="s">
        <v>318</v>
      </c>
      <c r="M3" s="263" t="s">
        <v>323</v>
      </c>
      <c r="N3" s="263" t="s">
        <v>324</v>
      </c>
      <c r="O3" s="263" t="s">
        <v>325</v>
      </c>
      <c r="P3" s="264" t="s">
        <v>326</v>
      </c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</row>
    <row r="4" spans="1:162" s="131" customFormat="1" ht="14.25" customHeight="1" x14ac:dyDescent="0.2">
      <c r="A4" s="464" t="s">
        <v>133</v>
      </c>
      <c r="B4" s="466" t="s">
        <v>224</v>
      </c>
      <c r="C4" s="468">
        <v>23</v>
      </c>
      <c r="D4" s="129">
        <v>60</v>
      </c>
      <c r="E4" s="120" t="s">
        <v>221</v>
      </c>
      <c r="F4" s="120" t="s">
        <v>446</v>
      </c>
      <c r="G4" s="231">
        <v>21</v>
      </c>
      <c r="H4" s="316">
        <v>214</v>
      </c>
      <c r="I4" s="124">
        <f>(('X. táblázat'!F4+'X. táblázat'!E4)*2842.013)/1000</f>
        <v>7026.5645210699995</v>
      </c>
      <c r="J4" s="124">
        <f>'X. táblázat'!G4*252.387/1000</f>
        <v>1943.3798999999999</v>
      </c>
      <c r="K4" s="125">
        <f t="shared" ref="K4:K35" si="0">+J4/D4</f>
        <v>32.389665000000001</v>
      </c>
      <c r="L4" s="126">
        <f t="shared" ref="L4:L35" si="1">+I4/D4</f>
        <v>117.1094086845</v>
      </c>
      <c r="M4" s="192"/>
      <c r="N4" s="37">
        <v>60</v>
      </c>
      <c r="O4" s="175">
        <v>0</v>
      </c>
      <c r="P4" s="224">
        <f>+N4-O4</f>
        <v>60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</row>
    <row r="5" spans="1:162" s="33" customFormat="1" x14ac:dyDescent="0.2">
      <c r="A5" s="446"/>
      <c r="B5" s="447"/>
      <c r="C5" s="469"/>
      <c r="D5" s="127">
        <v>30</v>
      </c>
      <c r="E5" s="21" t="s">
        <v>222</v>
      </c>
      <c r="F5" s="21" t="s">
        <v>447</v>
      </c>
      <c r="G5" s="236" t="s">
        <v>500</v>
      </c>
      <c r="H5" s="194">
        <v>214</v>
      </c>
      <c r="I5" s="22">
        <f>(('X. táblázat'!F5+'X. táblázat'!E5)*2842.013)/1000</f>
        <v>2466.6115028299996</v>
      </c>
      <c r="J5" s="22">
        <f>'X. táblázat'!G5*252.387/1000</f>
        <v>971.68994999999995</v>
      </c>
      <c r="K5" s="83">
        <f t="shared" si="0"/>
        <v>32.389665000000001</v>
      </c>
      <c r="L5" s="38">
        <f t="shared" si="1"/>
        <v>82.220383427666647</v>
      </c>
      <c r="M5" s="195"/>
      <c r="N5" s="26">
        <v>30</v>
      </c>
      <c r="O5" s="26">
        <v>0</v>
      </c>
      <c r="P5" s="225">
        <f t="shared" ref="P5:P68" si="2">+N5-O5</f>
        <v>30</v>
      </c>
      <c r="R5" s="36"/>
    </row>
    <row r="6" spans="1:162" s="33" customFormat="1" x14ac:dyDescent="0.2">
      <c r="A6" s="446"/>
      <c r="B6" s="447"/>
      <c r="C6" s="469"/>
      <c r="D6" s="127">
        <v>60</v>
      </c>
      <c r="E6" s="21" t="s">
        <v>223</v>
      </c>
      <c r="F6" s="21" t="s">
        <v>448</v>
      </c>
      <c r="G6" s="232">
        <v>23</v>
      </c>
      <c r="H6" s="194">
        <v>214</v>
      </c>
      <c r="I6" s="22">
        <f>(('X. táblázat'!F6+'X. táblázat'!E6)*2842.013)/1000</f>
        <v>5581.9408930399995</v>
      </c>
      <c r="J6" s="22">
        <f>'X. táblázat'!G6*252.387/1000</f>
        <v>1943.3798999999999</v>
      </c>
      <c r="K6" s="83">
        <f t="shared" si="0"/>
        <v>32.389665000000001</v>
      </c>
      <c r="L6" s="38">
        <f t="shared" si="1"/>
        <v>93.032348217333322</v>
      </c>
      <c r="M6" s="195"/>
      <c r="N6" s="26">
        <v>60</v>
      </c>
      <c r="O6" s="26">
        <v>0</v>
      </c>
      <c r="P6" s="225">
        <f t="shared" si="2"/>
        <v>60</v>
      </c>
      <c r="Q6" s="356"/>
    </row>
    <row r="7" spans="1:162" s="134" customFormat="1" ht="13.5" thickBot="1" x14ac:dyDescent="0.25">
      <c r="A7" s="465"/>
      <c r="B7" s="467"/>
      <c r="C7" s="470"/>
      <c r="D7" s="132">
        <v>60</v>
      </c>
      <c r="E7" s="27" t="s">
        <v>224</v>
      </c>
      <c r="F7" s="27" t="s">
        <v>449</v>
      </c>
      <c r="G7" s="235" t="s">
        <v>500</v>
      </c>
      <c r="H7" s="370">
        <v>214</v>
      </c>
      <c r="I7" s="165">
        <f>(('X. táblázat'!F7+'X. táblázat'!E7)*2842.013)/1000</f>
        <v>5441.3749300599993</v>
      </c>
      <c r="J7" s="170">
        <f>'X. táblázat'!G7*252.387/1000</f>
        <v>1972.404405</v>
      </c>
      <c r="K7" s="88">
        <f t="shared" si="0"/>
        <v>32.873406750000001</v>
      </c>
      <c r="L7" s="133">
        <f t="shared" si="1"/>
        <v>90.689582167666657</v>
      </c>
      <c r="M7" s="197"/>
      <c r="N7" s="29">
        <v>60</v>
      </c>
      <c r="O7" s="29">
        <v>0</v>
      </c>
      <c r="P7" s="226">
        <f t="shared" si="2"/>
        <v>60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</row>
    <row r="8" spans="1:162" s="138" customFormat="1" x14ac:dyDescent="0.2">
      <c r="A8" s="464" t="s">
        <v>132</v>
      </c>
      <c r="B8" s="466" t="s">
        <v>225</v>
      </c>
      <c r="C8" s="468">
        <v>23</v>
      </c>
      <c r="D8" s="135">
        <v>60</v>
      </c>
      <c r="E8" s="123" t="s">
        <v>225</v>
      </c>
      <c r="F8" s="123" t="s">
        <v>450</v>
      </c>
      <c r="G8" s="234">
        <v>21</v>
      </c>
      <c r="H8" s="316">
        <v>214</v>
      </c>
      <c r="I8" s="124">
        <f>(('X. táblázat'!F8+'X. táblázat'!E8)*2842.013)/1000</f>
        <v>10189.668149809999</v>
      </c>
      <c r="J8" s="130">
        <f>'X. táblázat'!G8*252.387/1000</f>
        <v>1943.3798999999999</v>
      </c>
      <c r="K8" s="136">
        <f t="shared" si="0"/>
        <v>32.389665000000001</v>
      </c>
      <c r="L8" s="137">
        <f t="shared" si="1"/>
        <v>169.8278024968333</v>
      </c>
      <c r="M8" s="192"/>
      <c r="N8" s="37">
        <v>60</v>
      </c>
      <c r="O8" s="37">
        <v>0</v>
      </c>
      <c r="P8" s="224">
        <f t="shared" si="2"/>
        <v>60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</row>
    <row r="9" spans="1:162" s="33" customFormat="1" x14ac:dyDescent="0.2">
      <c r="A9" s="443"/>
      <c r="B9" s="445"/>
      <c r="C9" s="473"/>
      <c r="D9" s="127">
        <v>60</v>
      </c>
      <c r="E9" s="21" t="s">
        <v>226</v>
      </c>
      <c r="F9" s="21" t="s">
        <v>451</v>
      </c>
      <c r="G9" s="232">
        <v>22</v>
      </c>
      <c r="H9" s="194">
        <v>214</v>
      </c>
      <c r="I9" s="22">
        <f>(('X. táblázat'!F9+'X. táblázat'!E9)*2842.013)/1000</f>
        <v>1878.51375274</v>
      </c>
      <c r="J9" s="22">
        <f>'X. táblázat'!G9*252.387/1000</f>
        <v>1946.6609310000001</v>
      </c>
      <c r="K9" s="83">
        <f t="shared" si="0"/>
        <v>32.444348850000004</v>
      </c>
      <c r="L9" s="38">
        <f t="shared" si="1"/>
        <v>31.308562545666668</v>
      </c>
      <c r="M9" s="199"/>
      <c r="N9" s="26">
        <v>60</v>
      </c>
      <c r="O9" s="26">
        <v>0</v>
      </c>
      <c r="P9" s="225">
        <v>60</v>
      </c>
      <c r="Q9" s="356"/>
    </row>
    <row r="10" spans="1:162" s="33" customFormat="1" x14ac:dyDescent="0.2">
      <c r="A10" s="443"/>
      <c r="B10" s="445"/>
      <c r="C10" s="473"/>
      <c r="D10" s="127">
        <v>30</v>
      </c>
      <c r="E10" s="21" t="s">
        <v>227</v>
      </c>
      <c r="F10" s="21" t="s">
        <v>452</v>
      </c>
      <c r="G10" s="232">
        <v>23</v>
      </c>
      <c r="H10" s="194">
        <v>214</v>
      </c>
      <c r="I10" s="22">
        <f>(('X. táblázat'!F10+'X. táblázat'!E10)*2842.013)/1000</f>
        <v>2651.9960108199998</v>
      </c>
      <c r="J10" s="22">
        <f>'X. táblázat'!G10*252.387/1000</f>
        <v>971.68994999999995</v>
      </c>
      <c r="K10" s="83">
        <f t="shared" si="0"/>
        <v>32.389665000000001</v>
      </c>
      <c r="L10" s="38">
        <f t="shared" si="1"/>
        <v>88.399867027333329</v>
      </c>
      <c r="M10" s="199"/>
      <c r="N10" s="26">
        <v>30</v>
      </c>
      <c r="O10" s="26">
        <v>0</v>
      </c>
      <c r="P10" s="225">
        <f t="shared" si="2"/>
        <v>30</v>
      </c>
    </row>
    <row r="11" spans="1:162" s="134" customFormat="1" ht="13.5" thickBot="1" x14ac:dyDescent="0.25">
      <c r="A11" s="471"/>
      <c r="B11" s="472"/>
      <c r="C11" s="474"/>
      <c r="D11" s="132">
        <v>60</v>
      </c>
      <c r="E11" s="27" t="s">
        <v>228</v>
      </c>
      <c r="F11" s="27" t="s">
        <v>453</v>
      </c>
      <c r="G11" s="233">
        <v>21</v>
      </c>
      <c r="H11" s="370">
        <v>214</v>
      </c>
      <c r="I11" s="165">
        <f>(('X. táblázat'!F11+'X. táblázat'!E11)*2842.013)/1000</f>
        <v>4818.6614616299994</v>
      </c>
      <c r="J11" s="28">
        <f>'X. táblázat'!G11*252.387/1000</f>
        <v>1943.3798999999999</v>
      </c>
      <c r="K11" s="88">
        <f t="shared" si="0"/>
        <v>32.389665000000001</v>
      </c>
      <c r="L11" s="133">
        <f t="shared" si="1"/>
        <v>80.311024360499985</v>
      </c>
      <c r="M11" s="200"/>
      <c r="N11" s="29">
        <v>60</v>
      </c>
      <c r="O11" s="29">
        <v>0</v>
      </c>
      <c r="P11" s="226">
        <f t="shared" si="2"/>
        <v>60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</row>
    <row r="12" spans="1:162" s="138" customFormat="1" x14ac:dyDescent="0.2">
      <c r="A12" s="464" t="s">
        <v>185</v>
      </c>
      <c r="B12" s="466" t="s">
        <v>231</v>
      </c>
      <c r="C12" s="468">
        <v>21</v>
      </c>
      <c r="D12" s="135">
        <v>12</v>
      </c>
      <c r="E12" s="123" t="s">
        <v>229</v>
      </c>
      <c r="F12" s="123" t="s">
        <v>454</v>
      </c>
      <c r="G12" s="234">
        <v>21</v>
      </c>
      <c r="H12" s="316">
        <v>214</v>
      </c>
      <c r="I12" s="124">
        <f>(('X. táblázat'!F12+'X. táblázat'!E12)*2842.013)/1000</f>
        <v>2355.28985362</v>
      </c>
      <c r="J12" s="309">
        <f>'X. táblázat'!G12*252.387/1000</f>
        <v>482.05916999999999</v>
      </c>
      <c r="K12" s="136">
        <f t="shared" si="0"/>
        <v>40.171597499999997</v>
      </c>
      <c r="L12" s="137">
        <f t="shared" si="1"/>
        <v>196.27415446833334</v>
      </c>
      <c r="M12" s="201"/>
      <c r="N12" s="37">
        <v>12</v>
      </c>
      <c r="O12" s="37">
        <v>0</v>
      </c>
      <c r="P12" s="224">
        <f t="shared" si="2"/>
        <v>12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</row>
    <row r="13" spans="1:162" s="33" customFormat="1" x14ac:dyDescent="0.2">
      <c r="A13" s="443"/>
      <c r="B13" s="445"/>
      <c r="C13" s="473"/>
      <c r="D13" s="127">
        <v>12</v>
      </c>
      <c r="E13" s="21" t="s">
        <v>230</v>
      </c>
      <c r="F13" s="21" t="s">
        <v>455</v>
      </c>
      <c r="G13" s="232">
        <v>21</v>
      </c>
      <c r="H13" s="194">
        <v>214</v>
      </c>
      <c r="I13" s="22">
        <f>(('X. táblázat'!F13+'X. táblázat'!E13)*2842.013)/1000</f>
        <v>1105.0030745299998</v>
      </c>
      <c r="J13" s="22">
        <f>'X. táblázat'!G13*252.387/1000</f>
        <v>478.27336500000001</v>
      </c>
      <c r="K13" s="83">
        <f t="shared" si="0"/>
        <v>39.856113749999999</v>
      </c>
      <c r="L13" s="38">
        <f t="shared" si="1"/>
        <v>92.083589544166657</v>
      </c>
      <c r="M13" s="196"/>
      <c r="N13" s="26">
        <v>12</v>
      </c>
      <c r="O13" s="26">
        <v>0</v>
      </c>
      <c r="P13" s="225">
        <f t="shared" si="2"/>
        <v>12</v>
      </c>
      <c r="Q13" s="356"/>
    </row>
    <row r="14" spans="1:162" s="33" customFormat="1" x14ac:dyDescent="0.2">
      <c r="A14" s="443"/>
      <c r="B14" s="445"/>
      <c r="C14" s="473"/>
      <c r="D14" s="127">
        <v>12</v>
      </c>
      <c r="E14" s="21" t="s">
        <v>231</v>
      </c>
      <c r="F14" s="21" t="s">
        <v>456</v>
      </c>
      <c r="G14" s="232">
        <v>22</v>
      </c>
      <c r="H14" s="194">
        <v>214</v>
      </c>
      <c r="I14" s="22">
        <f>(('X. táblázat'!F14+'X. táblázat'!E14)*2842.013)/1000</f>
        <v>1290.24548187</v>
      </c>
      <c r="J14" s="22">
        <f>'X. táblázat'!G14*252.387/1000</f>
        <v>478.02097800000001</v>
      </c>
      <c r="K14" s="83">
        <f t="shared" si="0"/>
        <v>39.835081500000001</v>
      </c>
      <c r="L14" s="38">
        <f t="shared" si="1"/>
        <v>107.52045682250001</v>
      </c>
      <c r="M14" s="196"/>
      <c r="N14" s="26">
        <v>12</v>
      </c>
      <c r="O14" s="26">
        <v>0</v>
      </c>
      <c r="P14" s="225">
        <f t="shared" si="2"/>
        <v>12</v>
      </c>
    </row>
    <row r="15" spans="1:162" s="134" customFormat="1" ht="13.5" thickBot="1" x14ac:dyDescent="0.25">
      <c r="A15" s="471"/>
      <c r="B15" s="472"/>
      <c r="C15" s="474"/>
      <c r="D15" s="132">
        <v>12</v>
      </c>
      <c r="E15" s="27" t="s">
        <v>232</v>
      </c>
      <c r="F15" s="27" t="s">
        <v>457</v>
      </c>
      <c r="G15" s="233">
        <v>21</v>
      </c>
      <c r="H15" s="370">
        <v>214</v>
      </c>
      <c r="I15" s="165">
        <f>(('X. táblázat'!F15+'X. táblázat'!E15)*2842.013)/1000</f>
        <v>1280.1847558499999</v>
      </c>
      <c r="J15" s="170">
        <f>'X. táblázat'!G15*252.387/1000</f>
        <v>478.27336500000001</v>
      </c>
      <c r="K15" s="88">
        <f t="shared" si="0"/>
        <v>39.856113749999999</v>
      </c>
      <c r="L15" s="133">
        <f t="shared" si="1"/>
        <v>106.68206298749999</v>
      </c>
      <c r="M15" s="198"/>
      <c r="N15" s="29">
        <v>12</v>
      </c>
      <c r="O15" s="29">
        <v>0</v>
      </c>
      <c r="P15" s="226">
        <v>12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</row>
    <row r="16" spans="1:162" s="138" customFormat="1" x14ac:dyDescent="0.2">
      <c r="A16" s="482" t="s">
        <v>110</v>
      </c>
      <c r="B16" s="477" t="s">
        <v>240</v>
      </c>
      <c r="C16" s="479">
        <v>20</v>
      </c>
      <c r="D16" s="135">
        <v>62</v>
      </c>
      <c r="E16" s="123" t="s">
        <v>234</v>
      </c>
      <c r="F16" s="123" t="s">
        <v>458</v>
      </c>
      <c r="G16" s="234">
        <v>20</v>
      </c>
      <c r="H16" s="316">
        <v>214</v>
      </c>
      <c r="I16" s="124">
        <f>(('X. táblázat'!F16+'X. táblázat'!E16)*2842.013)/1000</f>
        <v>6263.2566695299993</v>
      </c>
      <c r="J16" s="130">
        <f>'X. táblázat'!G16*252.387/1000</f>
        <v>1669.5400049999998</v>
      </c>
      <c r="K16" s="136">
        <f t="shared" si="0"/>
        <v>26.928064596774192</v>
      </c>
      <c r="L16" s="137">
        <f t="shared" si="1"/>
        <v>101.02026886338709</v>
      </c>
      <c r="M16" s="192"/>
      <c r="N16" s="37">
        <v>62</v>
      </c>
      <c r="O16" s="37">
        <v>0</v>
      </c>
      <c r="P16" s="224">
        <v>62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</row>
    <row r="17" spans="1:162" s="134" customFormat="1" ht="12.75" customHeight="1" thickBot="1" x14ac:dyDescent="0.25">
      <c r="A17" s="483"/>
      <c r="B17" s="478"/>
      <c r="C17" s="480"/>
      <c r="D17" s="132">
        <v>42</v>
      </c>
      <c r="E17" s="27" t="s">
        <v>240</v>
      </c>
      <c r="F17" s="27" t="s">
        <v>459</v>
      </c>
      <c r="G17" s="235">
        <v>23</v>
      </c>
      <c r="H17" s="220">
        <v>214</v>
      </c>
      <c r="I17" s="28">
        <f>(('X. táblázat'!F17+'X. táblázat'!E17)*2842.013)/1000</f>
        <v>3641.1586354700003</v>
      </c>
      <c r="J17" s="28">
        <f>'X. táblázat'!G17*252.387/1000</f>
        <v>1632.94389</v>
      </c>
      <c r="K17" s="88">
        <f t="shared" si="0"/>
        <v>38.879616428571431</v>
      </c>
      <c r="L17" s="133">
        <f t="shared" si="1"/>
        <v>86.694253225476203</v>
      </c>
      <c r="M17" s="200"/>
      <c r="N17" s="29">
        <v>42</v>
      </c>
      <c r="O17" s="29">
        <v>0</v>
      </c>
      <c r="P17" s="226">
        <v>42</v>
      </c>
      <c r="Q17" s="356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</row>
    <row r="18" spans="1:162" s="138" customFormat="1" ht="12.75" customHeight="1" x14ac:dyDescent="0.2">
      <c r="A18" s="482" t="s">
        <v>171</v>
      </c>
      <c r="B18" s="477" t="s">
        <v>239</v>
      </c>
      <c r="C18" s="479">
        <v>21</v>
      </c>
      <c r="D18" s="135">
        <v>62</v>
      </c>
      <c r="E18" s="123" t="s">
        <v>235</v>
      </c>
      <c r="F18" s="123" t="s">
        <v>460</v>
      </c>
      <c r="G18" s="234">
        <v>21</v>
      </c>
      <c r="H18" s="316">
        <v>214</v>
      </c>
      <c r="I18" s="124">
        <f>(('X. táblázat'!F18+'X. táblázat'!E18)*2842.013)/1000</f>
        <v>5720.9721689999997</v>
      </c>
      <c r="J18" s="309">
        <f>'X. táblázat'!G18*252.387/1000</f>
        <v>1650.8633670000002</v>
      </c>
      <c r="K18" s="136">
        <f t="shared" si="0"/>
        <v>26.626828500000002</v>
      </c>
      <c r="L18" s="137">
        <f t="shared" si="1"/>
        <v>92.273744661290323</v>
      </c>
      <c r="M18" s="192"/>
      <c r="N18" s="37">
        <v>62</v>
      </c>
      <c r="O18" s="37">
        <v>0</v>
      </c>
      <c r="P18" s="224">
        <f t="shared" si="2"/>
        <v>62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</row>
    <row r="19" spans="1:162" s="33" customFormat="1" ht="12.75" customHeight="1" x14ac:dyDescent="0.2">
      <c r="A19" s="495"/>
      <c r="B19" s="496"/>
      <c r="C19" s="481"/>
      <c r="D19" s="127">
        <v>32</v>
      </c>
      <c r="E19" s="21" t="s">
        <v>237</v>
      </c>
      <c r="F19" s="21" t="s">
        <v>461</v>
      </c>
      <c r="G19" s="236">
        <v>21</v>
      </c>
      <c r="H19" s="194">
        <v>214</v>
      </c>
      <c r="I19" s="22">
        <f>(('X. táblázat'!F19+'X. táblázat'!E19)*2842.013)/1000</f>
        <v>2552.1276740000003</v>
      </c>
      <c r="J19" s="22">
        <f>'X. táblázat'!G19*252.387/1000</f>
        <v>1212.467148</v>
      </c>
      <c r="K19" s="83">
        <f t="shared" si="0"/>
        <v>37.889598374999998</v>
      </c>
      <c r="L19" s="38">
        <f t="shared" si="1"/>
        <v>79.753989812500009</v>
      </c>
      <c r="M19" s="199"/>
      <c r="N19" s="26">
        <v>32</v>
      </c>
      <c r="O19" s="26">
        <v>0</v>
      </c>
      <c r="P19" s="225">
        <f t="shared" si="2"/>
        <v>32</v>
      </c>
      <c r="Q19" s="356"/>
    </row>
    <row r="20" spans="1:162" s="134" customFormat="1" ht="13.5" thickBot="1" x14ac:dyDescent="0.25">
      <c r="A20" s="483"/>
      <c r="B20" s="478"/>
      <c r="C20" s="480"/>
      <c r="D20" s="132">
        <v>26</v>
      </c>
      <c r="E20" s="27" t="s">
        <v>239</v>
      </c>
      <c r="F20" s="27" t="s">
        <v>462</v>
      </c>
      <c r="G20" s="233">
        <v>21</v>
      </c>
      <c r="H20" s="370">
        <v>214</v>
      </c>
      <c r="I20" s="165">
        <f>(('X. táblázat'!F20+'X. táblázat'!E20)*2842.013)/1000</f>
        <v>2009.303191</v>
      </c>
      <c r="J20" s="170">
        <f>'X. táblázat'!G20*252.387/1000</f>
        <v>933.32712600000002</v>
      </c>
      <c r="K20" s="88">
        <f t="shared" si="0"/>
        <v>35.897197153846157</v>
      </c>
      <c r="L20" s="133">
        <f t="shared" si="1"/>
        <v>77.280891961538458</v>
      </c>
      <c r="M20" s="200"/>
      <c r="N20" s="29">
        <v>26</v>
      </c>
      <c r="O20" s="29">
        <v>0</v>
      </c>
      <c r="P20" s="226">
        <f t="shared" si="2"/>
        <v>26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</row>
    <row r="21" spans="1:162" s="138" customFormat="1" x14ac:dyDescent="0.2">
      <c r="A21" s="482" t="s">
        <v>186</v>
      </c>
      <c r="B21" s="477" t="s">
        <v>238</v>
      </c>
      <c r="C21" s="479">
        <v>23</v>
      </c>
      <c r="D21" s="135">
        <v>62</v>
      </c>
      <c r="E21" s="123" t="s">
        <v>236</v>
      </c>
      <c r="F21" s="123" t="s">
        <v>463</v>
      </c>
      <c r="G21" s="234">
        <v>22</v>
      </c>
      <c r="H21" s="316">
        <v>214</v>
      </c>
      <c r="I21" s="124">
        <f>(('X. táblázat'!F21+'X. táblázat'!E21)*2842.013)/1000</f>
        <v>6162.2799476399987</v>
      </c>
      <c r="J21" s="130">
        <f>'X. táblázat'!G21*252.387/1000</f>
        <v>1688.973804</v>
      </c>
      <c r="K21" s="136">
        <f t="shared" si="0"/>
        <v>27.241512967741937</v>
      </c>
      <c r="L21" s="137">
        <f t="shared" si="1"/>
        <v>99.391612058709654</v>
      </c>
      <c r="M21" s="192"/>
      <c r="N21" s="37">
        <v>63</v>
      </c>
      <c r="O21" s="37">
        <v>0</v>
      </c>
      <c r="P21" s="224">
        <f t="shared" si="2"/>
        <v>63</v>
      </c>
      <c r="Q21" s="356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</row>
    <row r="22" spans="1:162" s="134" customFormat="1" ht="12.75" customHeight="1" thickBot="1" x14ac:dyDescent="0.25">
      <c r="A22" s="483"/>
      <c r="B22" s="478"/>
      <c r="C22" s="480"/>
      <c r="D22" s="132">
        <v>33</v>
      </c>
      <c r="E22" s="27" t="s">
        <v>238</v>
      </c>
      <c r="F22" s="27" t="s">
        <v>464</v>
      </c>
      <c r="G22" s="233">
        <v>23</v>
      </c>
      <c r="H22" s="220">
        <v>214</v>
      </c>
      <c r="I22" s="28">
        <f>(('X. táblázat'!F22+'X. táblázat'!E22)*2842.013)/1000</f>
        <v>3096.99840636</v>
      </c>
      <c r="J22" s="28">
        <f>'X. táblázat'!G22*252.387/1000</f>
        <v>1227.3579809999999</v>
      </c>
      <c r="K22" s="139">
        <f t="shared" si="0"/>
        <v>37.192666090909086</v>
      </c>
      <c r="L22" s="140">
        <f t="shared" si="1"/>
        <v>93.848436556363637</v>
      </c>
      <c r="M22" s="200"/>
      <c r="N22" s="29">
        <v>33</v>
      </c>
      <c r="O22" s="29">
        <v>0</v>
      </c>
      <c r="P22" s="226">
        <f t="shared" si="2"/>
        <v>33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</row>
    <row r="23" spans="1:162" s="138" customFormat="1" x14ac:dyDescent="0.2">
      <c r="A23" s="475" t="s">
        <v>111</v>
      </c>
      <c r="B23" s="466" t="s">
        <v>241</v>
      </c>
      <c r="C23" s="468">
        <v>20</v>
      </c>
      <c r="D23" s="135">
        <v>26</v>
      </c>
      <c r="E23" s="123" t="s">
        <v>233</v>
      </c>
      <c r="F23" s="123" t="s">
        <v>465</v>
      </c>
      <c r="G23" s="234">
        <v>20</v>
      </c>
      <c r="H23" s="316">
        <v>214</v>
      </c>
      <c r="I23" s="124">
        <f>(('X. táblázat'!F23+'X. táblázat'!E23)*2842.013)/1000</f>
        <v>4000.5880195799996</v>
      </c>
      <c r="J23" s="309">
        <f>'X. táblázat'!G23*252.387/1000</f>
        <v>855.33954299999994</v>
      </c>
      <c r="K23" s="136">
        <f t="shared" si="0"/>
        <v>32.897674730769225</v>
      </c>
      <c r="L23" s="137">
        <f t="shared" si="1"/>
        <v>153.86876998384614</v>
      </c>
      <c r="M23" s="192"/>
      <c r="N23" s="37">
        <v>26</v>
      </c>
      <c r="O23" s="37">
        <v>0</v>
      </c>
      <c r="P23" s="224">
        <f t="shared" si="2"/>
        <v>26</v>
      </c>
      <c r="Q23" s="356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</row>
    <row r="24" spans="1:162" s="134" customFormat="1" ht="13.5" thickBot="1" x14ac:dyDescent="0.25">
      <c r="A24" s="476"/>
      <c r="B24" s="472"/>
      <c r="C24" s="474"/>
      <c r="D24" s="141">
        <v>29</v>
      </c>
      <c r="E24" s="27" t="s">
        <v>241</v>
      </c>
      <c r="F24" s="27" t="s">
        <v>466</v>
      </c>
      <c r="G24" s="233">
        <v>20</v>
      </c>
      <c r="H24" s="220">
        <v>214</v>
      </c>
      <c r="I24" s="28">
        <f>(('X. táblázat'!F24+'X. táblázat'!E24)*2842.013)/1000</f>
        <v>2234.78850242</v>
      </c>
      <c r="J24" s="170">
        <f>'X. táblázat'!G24*252.387/1000</f>
        <v>1360.1135430000002</v>
      </c>
      <c r="K24" s="88">
        <f t="shared" si="0"/>
        <v>46.900467000000006</v>
      </c>
      <c r="L24" s="133">
        <f t="shared" si="1"/>
        <v>77.061672497241375</v>
      </c>
      <c r="M24" s="200"/>
      <c r="N24" s="29">
        <v>29</v>
      </c>
      <c r="O24" s="29">
        <v>0</v>
      </c>
      <c r="P24" s="226">
        <f t="shared" si="2"/>
        <v>29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</row>
    <row r="25" spans="1:162" s="138" customFormat="1" x14ac:dyDescent="0.2">
      <c r="A25" s="475" t="s">
        <v>174</v>
      </c>
      <c r="B25" s="466" t="s">
        <v>244</v>
      </c>
      <c r="C25" s="468">
        <v>24</v>
      </c>
      <c r="D25" s="142">
        <v>12</v>
      </c>
      <c r="E25" s="123" t="s">
        <v>242</v>
      </c>
      <c r="F25" s="123" t="s">
        <v>467</v>
      </c>
      <c r="G25" s="234">
        <v>21</v>
      </c>
      <c r="H25" s="316">
        <v>214</v>
      </c>
      <c r="I25" s="124">
        <f>(('X. táblázat'!F25+'X. táblázat'!E25)*2842.013)/1000</f>
        <v>2681.7518869300002</v>
      </c>
      <c r="J25" s="130">
        <f>'X. táblázat'!G25*252.387/1000</f>
        <v>482.05916999999999</v>
      </c>
      <c r="K25" s="136">
        <f t="shared" si="0"/>
        <v>40.171597499999997</v>
      </c>
      <c r="L25" s="137">
        <f t="shared" si="1"/>
        <v>223.47932391083336</v>
      </c>
      <c r="M25" s="193"/>
      <c r="N25" s="37">
        <v>12</v>
      </c>
      <c r="O25" s="37">
        <v>0</v>
      </c>
      <c r="P25" s="224">
        <f t="shared" si="2"/>
        <v>12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</row>
    <row r="26" spans="1:162" s="33" customFormat="1" x14ac:dyDescent="0.2">
      <c r="A26" s="454"/>
      <c r="B26" s="445"/>
      <c r="C26" s="473"/>
      <c r="D26" s="128">
        <v>12</v>
      </c>
      <c r="E26" s="21" t="s">
        <v>243</v>
      </c>
      <c r="F26" s="21" t="s">
        <v>468</v>
      </c>
      <c r="G26" s="232">
        <v>24</v>
      </c>
      <c r="H26" s="194">
        <v>214</v>
      </c>
      <c r="I26" s="22">
        <f>(('X. táblázat'!F26+'X. táblázat'!E26)*2842.013)/1000</f>
        <v>1007.23782733</v>
      </c>
      <c r="J26" s="22">
        <f>'X. táblázat'!G26*252.387/1000</f>
        <v>482.05916999999999</v>
      </c>
      <c r="K26" s="83">
        <f t="shared" si="0"/>
        <v>40.171597499999997</v>
      </c>
      <c r="L26" s="38">
        <f t="shared" si="1"/>
        <v>83.93648561083333</v>
      </c>
      <c r="M26" s="196"/>
      <c r="N26" s="26">
        <v>12</v>
      </c>
      <c r="O26" s="26">
        <v>0</v>
      </c>
      <c r="P26" s="225">
        <f t="shared" si="2"/>
        <v>12</v>
      </c>
    </row>
    <row r="27" spans="1:162" s="33" customFormat="1" x14ac:dyDescent="0.2">
      <c r="A27" s="454"/>
      <c r="B27" s="445"/>
      <c r="C27" s="473"/>
      <c r="D27" s="128">
        <v>12</v>
      </c>
      <c r="E27" s="21" t="s">
        <v>244</v>
      </c>
      <c r="F27" s="21" t="s">
        <v>469</v>
      </c>
      <c r="G27" s="232">
        <v>23</v>
      </c>
      <c r="H27" s="194">
        <v>214</v>
      </c>
      <c r="I27" s="22">
        <f>(('X. táblázat'!F27+'X. táblázat'!E27)*2842.013)/1000</f>
        <v>1004.3389740699998</v>
      </c>
      <c r="J27" s="22">
        <f>'X. táblázat'!G27*252.387/1000</f>
        <v>482.05916999999999</v>
      </c>
      <c r="K27" s="83">
        <f t="shared" si="0"/>
        <v>40.171597499999997</v>
      </c>
      <c r="L27" s="38">
        <f t="shared" si="1"/>
        <v>83.694914505833324</v>
      </c>
      <c r="M27" s="203"/>
      <c r="N27" s="26">
        <v>12</v>
      </c>
      <c r="O27" s="26">
        <v>0</v>
      </c>
      <c r="P27" s="225">
        <f t="shared" si="2"/>
        <v>12</v>
      </c>
    </row>
    <row r="28" spans="1:162" s="33" customFormat="1" x14ac:dyDescent="0.2">
      <c r="A28" s="454"/>
      <c r="B28" s="445"/>
      <c r="C28" s="473"/>
      <c r="D28" s="128">
        <v>12</v>
      </c>
      <c r="E28" s="21" t="s">
        <v>245</v>
      </c>
      <c r="F28" s="21" t="s">
        <v>470</v>
      </c>
      <c r="G28" s="232">
        <v>22</v>
      </c>
      <c r="H28" s="194">
        <v>214</v>
      </c>
      <c r="I28" s="22">
        <f>(('X. táblázat'!F28+'X. táblázat'!E28)*2842.013)/1000</f>
        <v>614.44321060000004</v>
      </c>
      <c r="J28" s="22">
        <f>'X. táblázat'!G28*252.387/1000</f>
        <v>482.05916999999999</v>
      </c>
      <c r="K28" s="83">
        <f t="shared" si="0"/>
        <v>40.171597499999997</v>
      </c>
      <c r="L28" s="38">
        <f t="shared" si="1"/>
        <v>51.203600883333337</v>
      </c>
      <c r="M28" s="203"/>
      <c r="N28" s="26">
        <v>12</v>
      </c>
      <c r="O28" s="26">
        <v>0</v>
      </c>
      <c r="P28" s="225">
        <f t="shared" si="2"/>
        <v>12</v>
      </c>
    </row>
    <row r="29" spans="1:162" s="134" customFormat="1" ht="13.5" thickBot="1" x14ac:dyDescent="0.25">
      <c r="A29" s="476"/>
      <c r="B29" s="472"/>
      <c r="C29" s="474"/>
      <c r="D29" s="141">
        <v>12</v>
      </c>
      <c r="E29" s="27" t="s">
        <v>246</v>
      </c>
      <c r="F29" s="27" t="s">
        <v>471</v>
      </c>
      <c r="G29" s="233">
        <v>22</v>
      </c>
      <c r="H29" s="370">
        <v>214</v>
      </c>
      <c r="I29" s="165">
        <f>(('X. táblázat'!F29+'X. táblázat'!E29)*2842.013)/1000</f>
        <v>1177.7301871999998</v>
      </c>
      <c r="J29" s="28">
        <f>'X. táblázat'!G29*252.387/1000</f>
        <v>482.05916999999999</v>
      </c>
      <c r="K29" s="88">
        <f t="shared" si="0"/>
        <v>40.171597499999997</v>
      </c>
      <c r="L29" s="133">
        <f t="shared" si="1"/>
        <v>98.144182266666647</v>
      </c>
      <c r="M29" s="204"/>
      <c r="N29" s="29">
        <v>12</v>
      </c>
      <c r="O29" s="29">
        <v>0</v>
      </c>
      <c r="P29" s="226">
        <f t="shared" si="2"/>
        <v>12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</row>
    <row r="30" spans="1:162" s="138" customFormat="1" x14ac:dyDescent="0.2">
      <c r="A30" s="475" t="s">
        <v>182</v>
      </c>
      <c r="B30" s="466" t="s">
        <v>248</v>
      </c>
      <c r="C30" s="468">
        <v>20</v>
      </c>
      <c r="D30" s="142">
        <v>36</v>
      </c>
      <c r="E30" s="123" t="s">
        <v>247</v>
      </c>
      <c r="F30" s="123" t="s">
        <v>472</v>
      </c>
      <c r="G30" s="237">
        <v>21</v>
      </c>
      <c r="H30" s="316">
        <v>214</v>
      </c>
      <c r="I30" s="124">
        <f>(('X. táblázat'!F30+'X. táblázat'!E30)*2842.013)/1000</f>
        <v>4886.5855723300001</v>
      </c>
      <c r="J30" s="309">
        <f>'X. táblázat'!G30*252.387/1000</f>
        <v>1293.2309879999998</v>
      </c>
      <c r="K30" s="136">
        <f t="shared" si="0"/>
        <v>35.923082999999991</v>
      </c>
      <c r="L30" s="137">
        <f t="shared" si="1"/>
        <v>135.73848812027779</v>
      </c>
      <c r="M30" s="205"/>
      <c r="N30" s="37">
        <v>36</v>
      </c>
      <c r="O30" s="37">
        <v>0</v>
      </c>
      <c r="P30" s="224">
        <f t="shared" si="2"/>
        <v>36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</row>
    <row r="31" spans="1:162" s="33" customFormat="1" x14ac:dyDescent="0.2">
      <c r="A31" s="454"/>
      <c r="B31" s="445"/>
      <c r="C31" s="473"/>
      <c r="D31" s="128">
        <v>36</v>
      </c>
      <c r="E31" s="21" t="s">
        <v>248</v>
      </c>
      <c r="F31" s="21" t="s">
        <v>473</v>
      </c>
      <c r="G31" s="232">
        <v>20</v>
      </c>
      <c r="H31" s="194">
        <v>214</v>
      </c>
      <c r="I31" s="22">
        <f>(('X. táblázat'!F31+'X. táblázat'!E31)*2842.013)/1000</f>
        <v>2848.8338312000001</v>
      </c>
      <c r="J31" s="22">
        <f>'X. táblázat'!G31*252.387/1000</f>
        <v>1293.2309879999998</v>
      </c>
      <c r="K31" s="83">
        <f t="shared" si="0"/>
        <v>35.923082999999991</v>
      </c>
      <c r="L31" s="38">
        <f t="shared" si="1"/>
        <v>79.134273088888889</v>
      </c>
      <c r="M31" s="203"/>
      <c r="N31" s="26">
        <v>36</v>
      </c>
      <c r="O31" s="26">
        <v>0</v>
      </c>
      <c r="P31" s="225">
        <f t="shared" si="2"/>
        <v>36</v>
      </c>
    </row>
    <row r="32" spans="1:162" s="134" customFormat="1" ht="13.5" thickBot="1" x14ac:dyDescent="0.25">
      <c r="A32" s="476"/>
      <c r="B32" s="472"/>
      <c r="C32" s="474"/>
      <c r="D32" s="141">
        <v>36</v>
      </c>
      <c r="E32" s="27" t="s">
        <v>249</v>
      </c>
      <c r="F32" s="27" t="s">
        <v>474</v>
      </c>
      <c r="G32" s="233">
        <v>22</v>
      </c>
      <c r="H32" s="370">
        <v>214</v>
      </c>
      <c r="I32" s="165">
        <f>(('X. táblázat'!F32+'X. táblázat'!E32)*2842.013)/1000</f>
        <v>3121.07025647</v>
      </c>
      <c r="J32" s="170">
        <f>'X. táblázat'!G32*252.387/1000</f>
        <v>1290.707118</v>
      </c>
      <c r="K32" s="88">
        <f t="shared" si="0"/>
        <v>35.852975499999999</v>
      </c>
      <c r="L32" s="133">
        <f t="shared" si="1"/>
        <v>86.696396013055562</v>
      </c>
      <c r="M32" s="204"/>
      <c r="N32" s="29">
        <v>36</v>
      </c>
      <c r="O32" s="29">
        <v>0</v>
      </c>
      <c r="P32" s="226">
        <f t="shared" si="2"/>
        <v>36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</row>
    <row r="33" spans="1:162" s="138" customFormat="1" x14ac:dyDescent="0.2">
      <c r="A33" s="475" t="s">
        <v>169</v>
      </c>
      <c r="B33" s="466" t="s">
        <v>252</v>
      </c>
      <c r="C33" s="468">
        <v>21</v>
      </c>
      <c r="D33" s="142">
        <v>34</v>
      </c>
      <c r="E33" s="123" t="s">
        <v>250</v>
      </c>
      <c r="F33" s="123" t="s">
        <v>475</v>
      </c>
      <c r="G33" s="237">
        <v>21</v>
      </c>
      <c r="H33" s="316">
        <v>214</v>
      </c>
      <c r="I33" s="124">
        <f>(('X. táblázat'!F33+'X. táblázat'!E33)*2842.013)/1000</f>
        <v>7366.7818972999994</v>
      </c>
      <c r="J33" s="130">
        <f>'X. táblázat'!G33*252.387/1000</f>
        <v>1421.1911969999999</v>
      </c>
      <c r="K33" s="136">
        <f t="shared" si="0"/>
        <v>41.799741088235294</v>
      </c>
      <c r="L33" s="137">
        <f t="shared" si="1"/>
        <v>216.67005580294116</v>
      </c>
      <c r="M33" s="206"/>
      <c r="N33" s="37">
        <v>34</v>
      </c>
      <c r="O33" s="37">
        <v>0</v>
      </c>
      <c r="P33" s="224">
        <f t="shared" si="2"/>
        <v>34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</row>
    <row r="34" spans="1:162" s="33" customFormat="1" x14ac:dyDescent="0.2">
      <c r="A34" s="454"/>
      <c r="B34" s="445"/>
      <c r="C34" s="473"/>
      <c r="D34" s="128">
        <v>27</v>
      </c>
      <c r="E34" s="21" t="s">
        <v>251</v>
      </c>
      <c r="F34" s="21" t="s">
        <v>476</v>
      </c>
      <c r="G34" s="236">
        <v>21</v>
      </c>
      <c r="H34" s="194">
        <v>214</v>
      </c>
      <c r="I34" s="22">
        <f>(('X. táblázat'!F34+'X. táblázat'!E34)*2842.013)/1000</f>
        <v>2990.3660786</v>
      </c>
      <c r="J34" s="22">
        <f>'X. táblázat'!G34*252.387/1000</f>
        <v>1088.0403570000001</v>
      </c>
      <c r="K34" s="83">
        <f t="shared" si="0"/>
        <v>40.297791000000004</v>
      </c>
      <c r="L34" s="38">
        <f t="shared" si="1"/>
        <v>110.75429920740741</v>
      </c>
      <c r="M34" s="195"/>
      <c r="N34" s="26">
        <v>27</v>
      </c>
      <c r="O34" s="26">
        <v>0</v>
      </c>
      <c r="P34" s="225">
        <f t="shared" si="2"/>
        <v>27</v>
      </c>
    </row>
    <row r="35" spans="1:162" s="33" customFormat="1" x14ac:dyDescent="0.2">
      <c r="A35" s="454"/>
      <c r="B35" s="445"/>
      <c r="C35" s="473"/>
      <c r="D35" s="128">
        <v>26</v>
      </c>
      <c r="E35" s="21" t="s">
        <v>252</v>
      </c>
      <c r="F35" s="21" t="s">
        <v>477</v>
      </c>
      <c r="G35" s="236">
        <v>21</v>
      </c>
      <c r="H35" s="194">
        <v>214</v>
      </c>
      <c r="I35" s="22">
        <f>(('X. táblázat'!F35+'X. táblázat'!E35)*2842.013)/1000</f>
        <v>2585.2371254499999</v>
      </c>
      <c r="J35" s="22">
        <f>'X. táblázat'!G35*252.387/1000</f>
        <v>1055.734821</v>
      </c>
      <c r="K35" s="83">
        <f t="shared" si="0"/>
        <v>40.605185423076925</v>
      </c>
      <c r="L35" s="38">
        <f t="shared" si="1"/>
        <v>99.432197132692309</v>
      </c>
      <c r="M35" s="195"/>
      <c r="N35" s="26">
        <v>26</v>
      </c>
      <c r="O35" s="26">
        <v>0</v>
      </c>
      <c r="P35" s="225">
        <f t="shared" si="2"/>
        <v>26</v>
      </c>
    </row>
    <row r="36" spans="1:162" s="33" customFormat="1" x14ac:dyDescent="0.2">
      <c r="A36" s="454"/>
      <c r="B36" s="445"/>
      <c r="C36" s="473"/>
      <c r="D36" s="128">
        <v>27</v>
      </c>
      <c r="E36" s="21" t="s">
        <v>253</v>
      </c>
      <c r="F36" s="21" t="s">
        <v>478</v>
      </c>
      <c r="G36" s="232">
        <v>23</v>
      </c>
      <c r="H36" s="194">
        <v>214</v>
      </c>
      <c r="I36" s="22">
        <f>(('X. táblázat'!F36+'X. táblázat'!E36)*2842.013)/1000</f>
        <v>3062.8942503600001</v>
      </c>
      <c r="J36" s="22">
        <f>'X. táblázat'!G36*252.387/1000</f>
        <v>1106.464608</v>
      </c>
      <c r="K36" s="83">
        <f t="shared" ref="K36:K67" si="3">+J36/D36</f>
        <v>40.980170666666666</v>
      </c>
      <c r="L36" s="38">
        <f t="shared" ref="L36:L67" si="4">+I36/D36</f>
        <v>113.44052779111111</v>
      </c>
      <c r="M36" s="195"/>
      <c r="N36" s="26">
        <v>27</v>
      </c>
      <c r="O36" s="26">
        <v>0</v>
      </c>
      <c r="P36" s="225">
        <f t="shared" si="2"/>
        <v>27</v>
      </c>
    </row>
    <row r="37" spans="1:162" s="134" customFormat="1" ht="13.5" thickBot="1" x14ac:dyDescent="0.25">
      <c r="A37" s="476"/>
      <c r="B37" s="472"/>
      <c r="C37" s="474"/>
      <c r="D37" s="141">
        <v>22</v>
      </c>
      <c r="E37" s="27" t="s">
        <v>254</v>
      </c>
      <c r="F37" s="27" t="s">
        <v>479</v>
      </c>
      <c r="G37" s="235">
        <v>21</v>
      </c>
      <c r="H37" s="370">
        <v>214</v>
      </c>
      <c r="I37" s="165">
        <f>(('X. táblázat'!F37+'X. táblázat'!E37)*2842.013)/1000</f>
        <v>1964.7688472899999</v>
      </c>
      <c r="J37" s="28">
        <f>'X. táblázat'!G37*252.387/1000</f>
        <v>849.53464199999996</v>
      </c>
      <c r="K37" s="88">
        <f t="shared" si="3"/>
        <v>38.615210999999995</v>
      </c>
      <c r="L37" s="133">
        <f t="shared" si="4"/>
        <v>89.307674876818183</v>
      </c>
      <c r="M37" s="197"/>
      <c r="N37" s="29">
        <v>22</v>
      </c>
      <c r="O37" s="29">
        <v>0</v>
      </c>
      <c r="P37" s="226">
        <f t="shared" si="2"/>
        <v>22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</row>
    <row r="38" spans="1:162" s="138" customFormat="1" x14ac:dyDescent="0.2">
      <c r="A38" s="475" t="s">
        <v>116</v>
      </c>
      <c r="B38" s="466" t="s">
        <v>256</v>
      </c>
      <c r="C38" s="468">
        <v>19</v>
      </c>
      <c r="D38" s="142">
        <v>36</v>
      </c>
      <c r="E38" s="123" t="s">
        <v>255</v>
      </c>
      <c r="F38" s="123" t="s">
        <v>480</v>
      </c>
      <c r="G38" s="234">
        <v>21</v>
      </c>
      <c r="H38" s="316">
        <v>214</v>
      </c>
      <c r="I38" s="124">
        <f>(('X. táblázat'!F38+'X. táblázat'!E38)*2842.013)/1000</f>
        <v>4794.3906706100006</v>
      </c>
      <c r="J38" s="309">
        <f>'X. táblázat'!G38*252.387/1000</f>
        <v>1331.5938119999998</v>
      </c>
      <c r="K38" s="136">
        <f t="shared" si="3"/>
        <v>36.988716999999994</v>
      </c>
      <c r="L38" s="137">
        <f t="shared" si="4"/>
        <v>133.17751862805557</v>
      </c>
      <c r="M38" s="205"/>
      <c r="N38" s="37">
        <v>36</v>
      </c>
      <c r="O38" s="37">
        <v>0</v>
      </c>
      <c r="P38" s="224">
        <f t="shared" si="2"/>
        <v>36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</row>
    <row r="39" spans="1:162" s="33" customFormat="1" x14ac:dyDescent="0.2">
      <c r="A39" s="454"/>
      <c r="B39" s="445"/>
      <c r="C39" s="473"/>
      <c r="D39" s="128">
        <v>35</v>
      </c>
      <c r="E39" s="21" t="s">
        <v>256</v>
      </c>
      <c r="F39" s="21" t="s">
        <v>481</v>
      </c>
      <c r="G39" s="232">
        <v>23</v>
      </c>
      <c r="H39" s="194">
        <v>214</v>
      </c>
      <c r="I39" s="22">
        <f>(('X. táblázat'!F39+'X. táblázat'!E39)*2842.013)/1000</f>
        <v>1546.25401291</v>
      </c>
      <c r="J39" s="22">
        <f>'X. táblázat'!G39*252.387/1000</f>
        <v>1326.5460719999999</v>
      </c>
      <c r="K39" s="83">
        <f t="shared" si="3"/>
        <v>37.901316342857136</v>
      </c>
      <c r="L39" s="38">
        <f t="shared" si="4"/>
        <v>44.178686083142857</v>
      </c>
      <c r="M39" s="203"/>
      <c r="N39" s="26">
        <v>35</v>
      </c>
      <c r="O39" s="26">
        <v>0</v>
      </c>
      <c r="P39" s="225">
        <f t="shared" si="2"/>
        <v>35</v>
      </c>
    </row>
    <row r="40" spans="1:162" s="134" customFormat="1" ht="13.5" thickBot="1" x14ac:dyDescent="0.25">
      <c r="A40" s="476"/>
      <c r="B40" s="472"/>
      <c r="C40" s="474"/>
      <c r="D40" s="141">
        <v>36</v>
      </c>
      <c r="E40" s="27" t="s">
        <v>257</v>
      </c>
      <c r="F40" s="27" t="s">
        <v>482</v>
      </c>
      <c r="G40" s="233">
        <v>21</v>
      </c>
      <c r="H40" s="370">
        <v>214</v>
      </c>
      <c r="I40" s="165">
        <f>(('X. táblázat'!F40+'X. táblázat'!E40)*2842.013)/1000</f>
        <v>1702.22368635</v>
      </c>
      <c r="J40" s="170">
        <f>'X. táblázat'!G40*252.387/1000</f>
        <v>1332.3509730000001</v>
      </c>
      <c r="K40" s="88">
        <f t="shared" si="3"/>
        <v>37.009749249999999</v>
      </c>
      <c r="L40" s="133">
        <f t="shared" si="4"/>
        <v>47.283991287500001</v>
      </c>
      <c r="M40" s="204"/>
      <c r="N40" s="29">
        <v>36</v>
      </c>
      <c r="O40" s="29">
        <v>0</v>
      </c>
      <c r="P40" s="226">
        <f t="shared" si="2"/>
        <v>36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</row>
    <row r="41" spans="1:162" s="138" customFormat="1" x14ac:dyDescent="0.2">
      <c r="A41" s="475" t="s">
        <v>187</v>
      </c>
      <c r="B41" s="466" t="s">
        <v>259</v>
      </c>
      <c r="C41" s="468">
        <v>21</v>
      </c>
      <c r="D41" s="142">
        <v>36</v>
      </c>
      <c r="E41" s="123" t="s">
        <v>258</v>
      </c>
      <c r="F41" s="123" t="s">
        <v>424</v>
      </c>
      <c r="G41" s="237" t="s">
        <v>501</v>
      </c>
      <c r="H41" s="316">
        <v>214</v>
      </c>
      <c r="I41" s="124">
        <f>(('X. táblázat'!F41+'X. táblázat'!E41)*2842.013)/1000</f>
        <v>4857.4265189500002</v>
      </c>
      <c r="J41" s="130">
        <f>'X. táblázat'!G41*252.387/1000</f>
        <v>1293.2309879999998</v>
      </c>
      <c r="K41" s="136">
        <f t="shared" si="3"/>
        <v>35.923082999999991</v>
      </c>
      <c r="L41" s="137">
        <f t="shared" si="4"/>
        <v>134.92851441527779</v>
      </c>
      <c r="M41" s="192"/>
      <c r="N41" s="37">
        <v>36</v>
      </c>
      <c r="O41" s="37">
        <v>0</v>
      </c>
      <c r="P41" s="224">
        <f t="shared" si="2"/>
        <v>36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</row>
    <row r="42" spans="1:162" s="33" customFormat="1" x14ac:dyDescent="0.2">
      <c r="A42" s="454"/>
      <c r="B42" s="445"/>
      <c r="C42" s="473"/>
      <c r="D42" s="128">
        <v>36</v>
      </c>
      <c r="E42" s="21" t="s">
        <v>259</v>
      </c>
      <c r="F42" s="21" t="s">
        <v>425</v>
      </c>
      <c r="G42" s="236" t="s">
        <v>500</v>
      </c>
      <c r="H42" s="194">
        <v>214</v>
      </c>
      <c r="I42" s="22">
        <f>(('X. táblázat'!F42+'X. táblázat'!E42)*2842.013)/1000</f>
        <v>2862.2765526899998</v>
      </c>
      <c r="J42" s="22">
        <f>'X. táblázat'!G42*252.387/1000</f>
        <v>1285.9117649999998</v>
      </c>
      <c r="K42" s="83">
        <f t="shared" si="3"/>
        <v>35.719771249999994</v>
      </c>
      <c r="L42" s="38">
        <f t="shared" si="4"/>
        <v>79.507682019166666</v>
      </c>
      <c r="M42" s="199"/>
      <c r="N42" s="26">
        <v>36</v>
      </c>
      <c r="O42" s="26">
        <v>0</v>
      </c>
      <c r="P42" s="225">
        <f t="shared" si="2"/>
        <v>36</v>
      </c>
    </row>
    <row r="43" spans="1:162" s="134" customFormat="1" ht="13.5" thickBot="1" x14ac:dyDescent="0.25">
      <c r="A43" s="476"/>
      <c r="B43" s="472"/>
      <c r="C43" s="474"/>
      <c r="D43" s="141">
        <v>36</v>
      </c>
      <c r="E43" s="27" t="s">
        <v>260</v>
      </c>
      <c r="F43" s="27" t="s">
        <v>426</v>
      </c>
      <c r="G43" s="235" t="s">
        <v>501</v>
      </c>
      <c r="H43" s="370">
        <v>214</v>
      </c>
      <c r="I43" s="165">
        <f>(('X. táblázat'!F43+'X. táblázat'!E43)*2842.013)/1000</f>
        <v>3375.5156803600003</v>
      </c>
      <c r="J43" s="28">
        <f>'X. táblázat'!G43*252.387/1000</f>
        <v>1285.9117649999998</v>
      </c>
      <c r="K43" s="88">
        <f t="shared" si="3"/>
        <v>35.719771249999994</v>
      </c>
      <c r="L43" s="133">
        <f t="shared" si="4"/>
        <v>93.764324454444449</v>
      </c>
      <c r="M43" s="200"/>
      <c r="N43" s="29">
        <v>36</v>
      </c>
      <c r="O43" s="29">
        <v>0</v>
      </c>
      <c r="P43" s="226">
        <f t="shared" si="2"/>
        <v>36</v>
      </c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</row>
    <row r="44" spans="1:162" s="138" customFormat="1" x14ac:dyDescent="0.2">
      <c r="A44" s="475" t="s">
        <v>134</v>
      </c>
      <c r="B44" s="466" t="s">
        <v>262</v>
      </c>
      <c r="C44" s="468">
        <v>21</v>
      </c>
      <c r="D44" s="142">
        <v>156</v>
      </c>
      <c r="E44" s="123" t="s">
        <v>261</v>
      </c>
      <c r="F44" s="123" t="s">
        <v>390</v>
      </c>
      <c r="G44" s="234">
        <v>21</v>
      </c>
      <c r="H44" s="316">
        <v>214</v>
      </c>
      <c r="I44" s="124">
        <f>(('X. táblázat'!F44+'X. táblázat'!E44)*2842.013)/1000</f>
        <v>19626.941778</v>
      </c>
      <c r="J44" s="309">
        <f>'X. táblázat'!G44*252.387/1000</f>
        <v>5765.2762410000005</v>
      </c>
      <c r="K44" s="136">
        <f t="shared" si="3"/>
        <v>36.956898980769232</v>
      </c>
      <c r="L44" s="137">
        <f t="shared" si="4"/>
        <v>125.81372934615385</v>
      </c>
      <c r="M44" s="192"/>
      <c r="N44" s="37">
        <v>156</v>
      </c>
      <c r="O44" s="37">
        <v>0</v>
      </c>
      <c r="P44" s="224">
        <f t="shared" si="2"/>
        <v>156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</row>
    <row r="45" spans="1:162" s="134" customFormat="1" ht="13.5" thickBot="1" x14ac:dyDescent="0.25">
      <c r="A45" s="476"/>
      <c r="B45" s="472"/>
      <c r="C45" s="474"/>
      <c r="D45" s="141">
        <v>60</v>
      </c>
      <c r="E45" s="27" t="s">
        <v>262</v>
      </c>
      <c r="F45" s="27" t="s">
        <v>391</v>
      </c>
      <c r="G45" s="233">
        <v>21</v>
      </c>
      <c r="H45" s="220">
        <v>214</v>
      </c>
      <c r="I45" s="28">
        <f>(('X. táblázat'!F45+'X. táblázat'!E45)*2842.013)/1000</f>
        <v>2898.8532599999999</v>
      </c>
      <c r="J45" s="170">
        <f>'X. táblázat'!G45*252.387/1000</f>
        <v>2009.0005200000001</v>
      </c>
      <c r="K45" s="88">
        <f t="shared" si="3"/>
        <v>33.483342</v>
      </c>
      <c r="L45" s="133">
        <f t="shared" si="4"/>
        <v>48.314220999999996</v>
      </c>
      <c r="M45" s="200"/>
      <c r="N45" s="29">
        <v>60</v>
      </c>
      <c r="O45" s="29">
        <v>0</v>
      </c>
      <c r="P45" s="226">
        <f t="shared" si="2"/>
        <v>60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</row>
    <row r="46" spans="1:162" s="138" customFormat="1" x14ac:dyDescent="0.2">
      <c r="A46" s="475" t="s">
        <v>176</v>
      </c>
      <c r="B46" s="466" t="s">
        <v>264</v>
      </c>
      <c r="C46" s="468">
        <v>23</v>
      </c>
      <c r="D46" s="142">
        <v>60</v>
      </c>
      <c r="E46" s="123" t="s">
        <v>263</v>
      </c>
      <c r="F46" s="123" t="s">
        <v>392</v>
      </c>
      <c r="G46" s="237">
        <v>21</v>
      </c>
      <c r="H46" s="316">
        <v>214</v>
      </c>
      <c r="I46" s="124">
        <f>(('X. táblázat'!F46+'X. táblázat'!E46)*2842.013)/1000</f>
        <v>6976.7724533099999</v>
      </c>
      <c r="J46" s="130">
        <f>'X. táblázat'!G46*252.387/1000</f>
        <v>2031.7153500000002</v>
      </c>
      <c r="K46" s="136">
        <f t="shared" si="3"/>
        <v>33.861922500000006</v>
      </c>
      <c r="L46" s="137">
        <f t="shared" si="4"/>
        <v>116.27954088849999</v>
      </c>
      <c r="M46" s="192"/>
      <c r="N46" s="37">
        <v>60</v>
      </c>
      <c r="O46" s="37">
        <v>0</v>
      </c>
      <c r="P46" s="224">
        <f t="shared" si="2"/>
        <v>60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</row>
    <row r="47" spans="1:162" s="143" customFormat="1" x14ac:dyDescent="0.2">
      <c r="A47" s="454"/>
      <c r="B47" s="445"/>
      <c r="C47" s="473"/>
      <c r="D47" s="128">
        <v>60</v>
      </c>
      <c r="E47" s="105" t="s">
        <v>264</v>
      </c>
      <c r="F47" s="105" t="s">
        <v>393</v>
      </c>
      <c r="G47" s="238" t="s">
        <v>495</v>
      </c>
      <c r="H47" s="194">
        <v>214</v>
      </c>
      <c r="I47" s="22">
        <f>(('X. táblázat'!F47+'X. táblázat'!E47)*2842.013)/1000</f>
        <v>2542.0669479800004</v>
      </c>
      <c r="J47" s="22">
        <f>'X. táblázat'!G47*252.387/1000</f>
        <v>2009.0005200000001</v>
      </c>
      <c r="K47" s="83">
        <f t="shared" si="3"/>
        <v>33.483342</v>
      </c>
      <c r="L47" s="38">
        <f t="shared" si="4"/>
        <v>42.367782466333338</v>
      </c>
      <c r="M47" s="199"/>
      <c r="N47" s="108">
        <v>60</v>
      </c>
      <c r="O47" s="108">
        <v>0</v>
      </c>
      <c r="P47" s="227">
        <f t="shared" si="2"/>
        <v>60</v>
      </c>
    </row>
    <row r="48" spans="1:162" s="134" customFormat="1" ht="13.5" thickBot="1" x14ac:dyDescent="0.25">
      <c r="A48" s="476"/>
      <c r="B48" s="472"/>
      <c r="C48" s="474"/>
      <c r="D48" s="141">
        <v>55</v>
      </c>
      <c r="E48" s="27" t="s">
        <v>265</v>
      </c>
      <c r="F48" s="27" t="s">
        <v>394</v>
      </c>
      <c r="G48" s="233">
        <v>23</v>
      </c>
      <c r="H48" s="370">
        <v>214</v>
      </c>
      <c r="I48" s="165">
        <f>(('X. táblázat'!F48+'X. táblázat'!E48)*2842.013)/1000</f>
        <v>2602.3460437099998</v>
      </c>
      <c r="J48" s="28">
        <f>'X. táblázat'!G48*252.387/1000</f>
        <v>1939.5940949999999</v>
      </c>
      <c r="K48" s="88">
        <f t="shared" si="3"/>
        <v>35.265347181818179</v>
      </c>
      <c r="L48" s="133">
        <f t="shared" si="4"/>
        <v>47.31538261290909</v>
      </c>
      <c r="M48" s="200"/>
      <c r="N48" s="29">
        <v>55</v>
      </c>
      <c r="O48" s="29">
        <v>0</v>
      </c>
      <c r="P48" s="226">
        <f t="shared" si="2"/>
        <v>55</v>
      </c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</row>
    <row r="49" spans="1:162" s="138" customFormat="1" x14ac:dyDescent="0.2">
      <c r="A49" s="475" t="s">
        <v>135</v>
      </c>
      <c r="B49" s="466" t="s">
        <v>266</v>
      </c>
      <c r="C49" s="468">
        <v>21</v>
      </c>
      <c r="D49" s="142">
        <v>90</v>
      </c>
      <c r="E49" s="123" t="s">
        <v>266</v>
      </c>
      <c r="F49" s="123" t="s">
        <v>395</v>
      </c>
      <c r="G49" s="234">
        <v>21</v>
      </c>
      <c r="H49" s="316">
        <v>214</v>
      </c>
      <c r="I49" s="124">
        <f>(('X. táblázat'!F49+'X. táblázat'!E49)*2842.013)/1000</f>
        <v>10410.975702119998</v>
      </c>
      <c r="J49" s="309">
        <f>'X. táblázat'!G49*252.387/1000</f>
        <v>2922.3890729999998</v>
      </c>
      <c r="K49" s="136">
        <f t="shared" si="3"/>
        <v>32.470989699999997</v>
      </c>
      <c r="L49" s="137">
        <f t="shared" si="4"/>
        <v>115.67750780133332</v>
      </c>
      <c r="M49" s="192"/>
      <c r="N49" s="37">
        <v>90</v>
      </c>
      <c r="O49" s="37">
        <v>0</v>
      </c>
      <c r="P49" s="224">
        <f t="shared" si="2"/>
        <v>90</v>
      </c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</row>
    <row r="50" spans="1:162" s="33" customFormat="1" x14ac:dyDescent="0.2">
      <c r="A50" s="454"/>
      <c r="B50" s="445"/>
      <c r="C50" s="473"/>
      <c r="D50" s="128">
        <v>60</v>
      </c>
      <c r="E50" s="21" t="s">
        <v>267</v>
      </c>
      <c r="F50" s="21" t="s">
        <v>396</v>
      </c>
      <c r="G50" s="232">
        <v>21</v>
      </c>
      <c r="H50" s="194">
        <v>214</v>
      </c>
      <c r="I50" s="22">
        <f>(('X. táblázat'!F50+'X. táblázat'!E50)*2842.013)/1000</f>
        <v>5164.8754852899992</v>
      </c>
      <c r="J50" s="22">
        <f>'X. táblázat'!G50*252.387/1000</f>
        <v>1955.9992500000001</v>
      </c>
      <c r="K50" s="83">
        <f t="shared" si="3"/>
        <v>32.599987500000005</v>
      </c>
      <c r="L50" s="38">
        <f t="shared" si="4"/>
        <v>86.081258088166649</v>
      </c>
      <c r="M50" s="199"/>
      <c r="N50" s="26">
        <v>60</v>
      </c>
      <c r="O50" s="26">
        <v>0</v>
      </c>
      <c r="P50" s="225">
        <f t="shared" si="2"/>
        <v>60</v>
      </c>
    </row>
    <row r="51" spans="1:162" s="134" customFormat="1" ht="13.5" thickBot="1" x14ac:dyDescent="0.25">
      <c r="A51" s="476"/>
      <c r="B51" s="472"/>
      <c r="C51" s="474"/>
      <c r="D51" s="141">
        <v>60</v>
      </c>
      <c r="E51" s="27" t="s">
        <v>268</v>
      </c>
      <c r="F51" s="27" t="s">
        <v>397</v>
      </c>
      <c r="G51" s="233">
        <v>21</v>
      </c>
      <c r="H51" s="370">
        <v>214</v>
      </c>
      <c r="I51" s="165">
        <f>(('X. táblázat'!F51+'X. táblázat'!E51)*2842.013)/1000</f>
        <v>2519.24558359</v>
      </c>
      <c r="J51" s="170">
        <f>'X. táblázat'!G51*252.387/1000</f>
        <v>1955.9992500000001</v>
      </c>
      <c r="K51" s="88">
        <f t="shared" si="3"/>
        <v>32.599987500000005</v>
      </c>
      <c r="L51" s="133">
        <f t="shared" si="4"/>
        <v>41.987426393166665</v>
      </c>
      <c r="M51" s="200"/>
      <c r="N51" s="29">
        <v>60</v>
      </c>
      <c r="O51" s="29">
        <v>0</v>
      </c>
      <c r="P51" s="226">
        <f t="shared" si="2"/>
        <v>60</v>
      </c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</row>
    <row r="52" spans="1:162" s="138" customFormat="1" x14ac:dyDescent="0.2">
      <c r="A52" s="475" t="s">
        <v>177</v>
      </c>
      <c r="B52" s="466" t="s">
        <v>270</v>
      </c>
      <c r="C52" s="468">
        <v>23</v>
      </c>
      <c r="D52" s="142">
        <v>60</v>
      </c>
      <c r="E52" s="123" t="s">
        <v>269</v>
      </c>
      <c r="F52" s="123" t="s">
        <v>398</v>
      </c>
      <c r="G52" s="234">
        <v>21</v>
      </c>
      <c r="H52" s="316">
        <v>214</v>
      </c>
      <c r="I52" s="124">
        <f>(('X. táblázat'!F52+'X. táblázat'!E52)*2842.013)/1000</f>
        <v>7270.7786981600002</v>
      </c>
      <c r="J52" s="130">
        <f>'X. táblázat'!G52*252.387/1000</f>
        <v>1955.9992500000001</v>
      </c>
      <c r="K52" s="136">
        <f t="shared" si="3"/>
        <v>32.599987500000005</v>
      </c>
      <c r="L52" s="137">
        <f t="shared" si="4"/>
        <v>121.17964496933334</v>
      </c>
      <c r="M52" s="205"/>
      <c r="N52" s="37">
        <v>60</v>
      </c>
      <c r="O52" s="37">
        <v>0</v>
      </c>
      <c r="P52" s="224">
        <f t="shared" si="2"/>
        <v>60</v>
      </c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</row>
    <row r="53" spans="1:162" s="33" customFormat="1" x14ac:dyDescent="0.2">
      <c r="A53" s="453"/>
      <c r="B53" s="447"/>
      <c r="C53" s="469"/>
      <c r="D53" s="128">
        <v>60</v>
      </c>
      <c r="E53" s="21" t="s">
        <v>270</v>
      </c>
      <c r="F53" s="21" t="s">
        <v>399</v>
      </c>
      <c r="G53" s="232">
        <v>22</v>
      </c>
      <c r="H53" s="194">
        <v>214</v>
      </c>
      <c r="I53" s="22">
        <f>(('X. táblázat'!F53+'X. táblázat'!E53)*2842.013)/1000</f>
        <v>2477.1837911899997</v>
      </c>
      <c r="J53" s="22">
        <f>'X. táblázat'!G53*252.387/1000</f>
        <v>1955.9992500000001</v>
      </c>
      <c r="K53" s="83">
        <f t="shared" si="3"/>
        <v>32.599987500000005</v>
      </c>
      <c r="L53" s="38">
        <f t="shared" si="4"/>
        <v>41.286396519833332</v>
      </c>
      <c r="M53" s="203"/>
      <c r="N53" s="26">
        <v>60</v>
      </c>
      <c r="O53" s="26">
        <v>0</v>
      </c>
      <c r="P53" s="225">
        <f t="shared" si="2"/>
        <v>60</v>
      </c>
    </row>
    <row r="54" spans="1:162" s="134" customFormat="1" ht="13.5" thickBot="1" x14ac:dyDescent="0.25">
      <c r="A54" s="476"/>
      <c r="B54" s="472"/>
      <c r="C54" s="474"/>
      <c r="D54" s="141">
        <v>60</v>
      </c>
      <c r="E54" s="27" t="s">
        <v>280</v>
      </c>
      <c r="F54" s="27" t="s">
        <v>400</v>
      </c>
      <c r="G54" s="233">
        <v>21</v>
      </c>
      <c r="H54" s="370">
        <v>214</v>
      </c>
      <c r="I54" s="165">
        <f>(('X. táblázat'!F54+'X. táblázat'!E54)*2842.013)/1000</f>
        <v>2711.4225026499998</v>
      </c>
      <c r="J54" s="28">
        <f>'X. táblázat'!G54*252.387/1000</f>
        <v>1955.9992500000001</v>
      </c>
      <c r="K54" s="88">
        <f t="shared" si="3"/>
        <v>32.599987500000005</v>
      </c>
      <c r="L54" s="133">
        <f t="shared" si="4"/>
        <v>45.190375044166665</v>
      </c>
      <c r="M54" s="204"/>
      <c r="N54" s="29">
        <v>60</v>
      </c>
      <c r="O54" s="29">
        <v>0</v>
      </c>
      <c r="P54" s="226">
        <f t="shared" si="2"/>
        <v>60</v>
      </c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</row>
    <row r="55" spans="1:162" s="138" customFormat="1" x14ac:dyDescent="0.2">
      <c r="A55" s="475" t="s">
        <v>178</v>
      </c>
      <c r="B55" s="466" t="s">
        <v>272</v>
      </c>
      <c r="C55" s="468">
        <v>23</v>
      </c>
      <c r="D55" s="142">
        <v>60</v>
      </c>
      <c r="E55" s="123" t="s">
        <v>271</v>
      </c>
      <c r="F55" s="123" t="s">
        <v>401</v>
      </c>
      <c r="G55" s="234">
        <v>21</v>
      </c>
      <c r="H55" s="316">
        <v>214</v>
      </c>
      <c r="I55" s="124">
        <f>(('X. táblázat'!F55+'X. táblázat'!E55)*2842.013)/1000</f>
        <v>5762.0676769800002</v>
      </c>
      <c r="J55" s="309">
        <f>'X. táblázat'!G55*252.387/1000</f>
        <v>1943.3798999999999</v>
      </c>
      <c r="K55" s="136">
        <f t="shared" si="3"/>
        <v>32.389665000000001</v>
      </c>
      <c r="L55" s="137">
        <f t="shared" si="4"/>
        <v>96.034461282999999</v>
      </c>
      <c r="M55" s="205"/>
      <c r="N55" s="37">
        <v>60</v>
      </c>
      <c r="O55" s="37">
        <v>0</v>
      </c>
      <c r="P55" s="224">
        <f t="shared" si="2"/>
        <v>60</v>
      </c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</row>
    <row r="56" spans="1:162" s="134" customFormat="1" ht="13.5" thickBot="1" x14ac:dyDescent="0.25">
      <c r="A56" s="476"/>
      <c r="B56" s="472"/>
      <c r="C56" s="474"/>
      <c r="D56" s="144">
        <v>60</v>
      </c>
      <c r="E56" s="27" t="s">
        <v>272</v>
      </c>
      <c r="F56" s="27" t="s">
        <v>402</v>
      </c>
      <c r="G56" s="233">
        <v>23</v>
      </c>
      <c r="H56" s="220">
        <v>214</v>
      </c>
      <c r="I56" s="28">
        <f>(('X. táblázat'!F56+'X. táblázat'!E56)*2842.013)/1000</f>
        <v>1965.3656700199999</v>
      </c>
      <c r="J56" s="170">
        <f>'X. táblázat'!G56*252.387/1000</f>
        <v>1943.3798999999999</v>
      </c>
      <c r="K56" s="88">
        <f t="shared" si="3"/>
        <v>32.389665000000001</v>
      </c>
      <c r="L56" s="133">
        <f t="shared" si="4"/>
        <v>32.756094500333333</v>
      </c>
      <c r="M56" s="204"/>
      <c r="N56" s="29">
        <v>60</v>
      </c>
      <c r="O56" s="29">
        <v>0</v>
      </c>
      <c r="P56" s="226">
        <f t="shared" si="2"/>
        <v>60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</row>
    <row r="57" spans="1:162" s="138" customFormat="1" x14ac:dyDescent="0.2">
      <c r="A57" s="484" t="s">
        <v>179</v>
      </c>
      <c r="B57" s="477" t="s">
        <v>273</v>
      </c>
      <c r="C57" s="479">
        <v>21</v>
      </c>
      <c r="D57" s="142">
        <v>90</v>
      </c>
      <c r="E57" s="123" t="s">
        <v>273</v>
      </c>
      <c r="F57" s="123" t="s">
        <v>403</v>
      </c>
      <c r="G57" s="234">
        <v>23</v>
      </c>
      <c r="H57" s="316">
        <v>214</v>
      </c>
      <c r="I57" s="124">
        <f>(('X. táblázat'!F57+'X. táblázat'!E57)*2842.013)/1000</f>
        <v>11572.961137299999</v>
      </c>
      <c r="J57" s="130">
        <f>'X. táblázat'!G57*252.387/1000</f>
        <v>2993.3098199999999</v>
      </c>
      <c r="K57" s="136">
        <f t="shared" si="3"/>
        <v>33.258997999999998</v>
      </c>
      <c r="L57" s="137">
        <f t="shared" si="4"/>
        <v>128.5884570811111</v>
      </c>
      <c r="M57" s="205"/>
      <c r="N57" s="37">
        <v>90</v>
      </c>
      <c r="O57" s="37">
        <v>0</v>
      </c>
      <c r="P57" s="224">
        <f t="shared" si="2"/>
        <v>90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</row>
    <row r="58" spans="1:162" s="134" customFormat="1" ht="13.5" thickBot="1" x14ac:dyDescent="0.25">
      <c r="A58" s="485"/>
      <c r="B58" s="478"/>
      <c r="C58" s="480"/>
      <c r="D58" s="141">
        <v>30</v>
      </c>
      <c r="E58" s="27" t="s">
        <v>281</v>
      </c>
      <c r="F58" s="27" t="s">
        <v>404</v>
      </c>
      <c r="G58" s="233">
        <v>22</v>
      </c>
      <c r="H58" s="220">
        <v>214</v>
      </c>
      <c r="I58" s="28">
        <f>(('X. táblázat'!F58+'X. táblázat'!E58)*2842.013)/1000</f>
        <v>1852.7082746999999</v>
      </c>
      <c r="J58" s="28">
        <f>'X. táblázat'!G58*252.387/1000</f>
        <v>918.68868000000009</v>
      </c>
      <c r="K58" s="88">
        <f t="shared" si="3"/>
        <v>30.622956000000002</v>
      </c>
      <c r="L58" s="133">
        <f t="shared" si="4"/>
        <v>61.75694249</v>
      </c>
      <c r="M58" s="204"/>
      <c r="N58" s="29">
        <v>30</v>
      </c>
      <c r="O58" s="29">
        <v>0</v>
      </c>
      <c r="P58" s="226">
        <f t="shared" si="2"/>
        <v>30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</row>
    <row r="59" spans="1:162" s="138" customFormat="1" x14ac:dyDescent="0.2">
      <c r="A59" s="475" t="s">
        <v>136</v>
      </c>
      <c r="B59" s="466" t="s">
        <v>274</v>
      </c>
      <c r="C59" s="468">
        <v>23</v>
      </c>
      <c r="D59" s="142">
        <v>55</v>
      </c>
      <c r="E59" s="123" t="s">
        <v>274</v>
      </c>
      <c r="F59" s="123" t="s">
        <v>405</v>
      </c>
      <c r="G59" s="234">
        <v>21</v>
      </c>
      <c r="H59" s="316">
        <v>214</v>
      </c>
      <c r="I59" s="124">
        <f>(('X. táblázat'!F59+'X. táblázat'!E59)*2842.013)/1000</f>
        <v>8707.1036482299987</v>
      </c>
      <c r="J59" s="309">
        <f>'X. táblázat'!G59*252.387/1000</f>
        <v>1926.217584</v>
      </c>
      <c r="K59" s="136">
        <f t="shared" si="3"/>
        <v>35.022137890909093</v>
      </c>
      <c r="L59" s="137">
        <f t="shared" si="4"/>
        <v>158.31097542236361</v>
      </c>
      <c r="M59" s="192"/>
      <c r="N59" s="37">
        <v>55</v>
      </c>
      <c r="O59" s="37">
        <v>0</v>
      </c>
      <c r="P59" s="224">
        <f t="shared" si="2"/>
        <v>55</v>
      </c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</row>
    <row r="60" spans="1:162" s="33" customFormat="1" x14ac:dyDescent="0.2">
      <c r="A60" s="454"/>
      <c r="B60" s="445"/>
      <c r="C60" s="473"/>
      <c r="D60" s="128">
        <v>55</v>
      </c>
      <c r="E60" s="21" t="s">
        <v>275</v>
      </c>
      <c r="F60" s="21" t="s">
        <v>406</v>
      </c>
      <c r="G60" s="232">
        <v>21</v>
      </c>
      <c r="H60" s="194">
        <v>214</v>
      </c>
      <c r="I60" s="22">
        <f>(('X. táblázat'!F60+'X. táblázat'!E60)*2842.013)/1000</f>
        <v>2192.3572483299999</v>
      </c>
      <c r="J60" s="22">
        <f>'X. táblázat'!G60*252.387/1000</f>
        <v>1926.217584</v>
      </c>
      <c r="K60" s="83">
        <f t="shared" si="3"/>
        <v>35.022137890909093</v>
      </c>
      <c r="L60" s="38">
        <f t="shared" si="4"/>
        <v>39.861040878727273</v>
      </c>
      <c r="M60" s="199"/>
      <c r="N60" s="26">
        <v>55</v>
      </c>
      <c r="O60" s="26">
        <v>0</v>
      </c>
      <c r="P60" s="225">
        <f t="shared" si="2"/>
        <v>55</v>
      </c>
    </row>
    <row r="61" spans="1:162" s="134" customFormat="1" ht="13.5" thickBot="1" x14ac:dyDescent="0.25">
      <c r="A61" s="476"/>
      <c r="B61" s="472"/>
      <c r="C61" s="474"/>
      <c r="D61" s="141">
        <v>60</v>
      </c>
      <c r="E61" s="27" t="s">
        <v>277</v>
      </c>
      <c r="F61" s="27" t="s">
        <v>407</v>
      </c>
      <c r="G61" s="233">
        <v>23</v>
      </c>
      <c r="H61" s="370">
        <v>214</v>
      </c>
      <c r="I61" s="165">
        <f>(('X. táblázat'!F61+'X. táblázat'!E61)*2842.013)/1000</f>
        <v>2688.2316765699998</v>
      </c>
      <c r="J61" s="170">
        <f>'X. táblázat'!G61*252.387/1000</f>
        <v>1955.9992500000001</v>
      </c>
      <c r="K61" s="88">
        <f t="shared" si="3"/>
        <v>32.599987500000005</v>
      </c>
      <c r="L61" s="133">
        <f t="shared" si="4"/>
        <v>44.803861276166664</v>
      </c>
      <c r="M61" s="200"/>
      <c r="N61" s="29">
        <v>60</v>
      </c>
      <c r="O61" s="29">
        <v>0</v>
      </c>
      <c r="P61" s="226">
        <f t="shared" si="2"/>
        <v>60</v>
      </c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</row>
    <row r="62" spans="1:162" s="138" customFormat="1" x14ac:dyDescent="0.2">
      <c r="A62" s="475" t="s">
        <v>137</v>
      </c>
      <c r="B62" s="466" t="s">
        <v>276</v>
      </c>
      <c r="C62" s="468">
        <v>22</v>
      </c>
      <c r="D62" s="142">
        <v>58</v>
      </c>
      <c r="E62" s="123" t="s">
        <v>276</v>
      </c>
      <c r="F62" s="123" t="s">
        <v>408</v>
      </c>
      <c r="G62" s="234">
        <v>21</v>
      </c>
      <c r="H62" s="316">
        <v>214</v>
      </c>
      <c r="I62" s="124">
        <f>(('X. táblázat'!F62+'X. táblázat'!E62)*2842.013)/1000</f>
        <v>6764.4740822099993</v>
      </c>
      <c r="J62" s="130">
        <f>'X. táblázat'!G62*252.387/1000</f>
        <v>1900.9788840000001</v>
      </c>
      <c r="K62" s="136">
        <f t="shared" si="3"/>
        <v>32.775497999999999</v>
      </c>
      <c r="L62" s="137">
        <f t="shared" si="4"/>
        <v>116.6288634863793</v>
      </c>
      <c r="M62" s="192"/>
      <c r="N62" s="37">
        <v>58</v>
      </c>
      <c r="O62" s="37">
        <v>0</v>
      </c>
      <c r="P62" s="224">
        <f t="shared" si="2"/>
        <v>58</v>
      </c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</row>
    <row r="63" spans="1:162" s="33" customFormat="1" x14ac:dyDescent="0.2">
      <c r="A63" s="454"/>
      <c r="B63" s="445"/>
      <c r="C63" s="473"/>
      <c r="D63" s="128">
        <v>90</v>
      </c>
      <c r="E63" s="21" t="s">
        <v>278</v>
      </c>
      <c r="F63" s="21" t="s">
        <v>409</v>
      </c>
      <c r="G63" s="232">
        <v>23</v>
      </c>
      <c r="H63" s="194">
        <v>214</v>
      </c>
      <c r="I63" s="22">
        <f>(('X. táblázat'!F63+'X. táblázat'!E63)*2842.013)/1000</f>
        <v>4126.0913136599993</v>
      </c>
      <c r="J63" s="22">
        <f>'X. táblázat'!G63*252.387/1000</f>
        <v>2957.7232530000001</v>
      </c>
      <c r="K63" s="83">
        <f t="shared" si="3"/>
        <v>32.863591700000001</v>
      </c>
      <c r="L63" s="38">
        <f t="shared" si="4"/>
        <v>45.845459040666661</v>
      </c>
      <c r="M63" s="199"/>
      <c r="N63" s="26">
        <v>90</v>
      </c>
      <c r="O63" s="26">
        <v>0</v>
      </c>
      <c r="P63" s="225">
        <f t="shared" si="2"/>
        <v>90</v>
      </c>
    </row>
    <row r="64" spans="1:162" s="134" customFormat="1" ht="13.5" thickBot="1" x14ac:dyDescent="0.25">
      <c r="A64" s="476"/>
      <c r="B64" s="472"/>
      <c r="C64" s="474"/>
      <c r="D64" s="141">
        <v>60</v>
      </c>
      <c r="E64" s="27" t="s">
        <v>279</v>
      </c>
      <c r="F64" s="27" t="s">
        <v>410</v>
      </c>
      <c r="G64" s="233">
        <v>23</v>
      </c>
      <c r="H64" s="370">
        <v>214</v>
      </c>
      <c r="I64" s="165">
        <f>(('X. táblázat'!F64+'X. táblázat'!E64)*2842.013)/1000</f>
        <v>1864.3605279999999</v>
      </c>
      <c r="J64" s="28">
        <f>'X. táblázat'!G64*252.387/1000</f>
        <v>2027.677158</v>
      </c>
      <c r="K64" s="88">
        <f t="shared" si="3"/>
        <v>33.794619300000001</v>
      </c>
      <c r="L64" s="133">
        <f t="shared" si="4"/>
        <v>31.072675466666666</v>
      </c>
      <c r="M64" s="200"/>
      <c r="N64" s="29">
        <v>60</v>
      </c>
      <c r="O64" s="29">
        <v>0</v>
      </c>
      <c r="P64" s="226">
        <f t="shared" si="2"/>
        <v>60</v>
      </c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</row>
    <row r="65" spans="1:162" s="138" customFormat="1" x14ac:dyDescent="0.2">
      <c r="A65" s="475" t="s">
        <v>138</v>
      </c>
      <c r="B65" s="466" t="s">
        <v>282</v>
      </c>
      <c r="C65" s="468">
        <v>23</v>
      </c>
      <c r="D65" s="142">
        <v>59</v>
      </c>
      <c r="E65" s="123" t="s">
        <v>282</v>
      </c>
      <c r="F65" s="123" t="s">
        <v>355</v>
      </c>
      <c r="G65" s="234">
        <v>23</v>
      </c>
      <c r="H65" s="316">
        <v>214</v>
      </c>
      <c r="I65" s="124">
        <f>(('X. táblázat'!F65+'X. táblázat'!E65)*2842.013)/1000</f>
        <v>10005.19308598</v>
      </c>
      <c r="J65" s="309">
        <f>'X. táblázat'!G65*252.387/1000</f>
        <v>2108.6933849999996</v>
      </c>
      <c r="K65" s="136">
        <f t="shared" si="3"/>
        <v>35.740565847457617</v>
      </c>
      <c r="L65" s="137">
        <f t="shared" si="4"/>
        <v>169.57954383016948</v>
      </c>
      <c r="M65" s="192">
        <v>1</v>
      </c>
      <c r="N65" s="37">
        <v>60</v>
      </c>
      <c r="O65" s="37">
        <v>0</v>
      </c>
      <c r="P65" s="224">
        <f t="shared" si="2"/>
        <v>60</v>
      </c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</row>
    <row r="66" spans="1:162" s="33" customFormat="1" x14ac:dyDescent="0.2">
      <c r="A66" s="453"/>
      <c r="B66" s="447"/>
      <c r="C66" s="469"/>
      <c r="D66" s="128">
        <v>28</v>
      </c>
      <c r="E66" s="21" t="s">
        <v>283</v>
      </c>
      <c r="F66" s="21" t="s">
        <v>356</v>
      </c>
      <c r="G66" s="232">
        <v>21</v>
      </c>
      <c r="H66" s="194">
        <v>214</v>
      </c>
      <c r="I66" s="22">
        <f>(('X. táblázat'!F66+'X. táblázat'!E66)*2842.013)/1000</f>
        <v>1771.3982827699999</v>
      </c>
      <c r="J66" s="22">
        <f>'X. táblázat'!G66*252.387/1000</f>
        <v>1083.7497779999999</v>
      </c>
      <c r="K66" s="83">
        <f t="shared" si="3"/>
        <v>38.705349214285711</v>
      </c>
      <c r="L66" s="38">
        <f t="shared" si="4"/>
        <v>63.264224384642851</v>
      </c>
      <c r="M66" s="199">
        <v>1</v>
      </c>
      <c r="N66" s="26">
        <v>30</v>
      </c>
      <c r="O66" s="26">
        <v>0</v>
      </c>
      <c r="P66" s="225">
        <f t="shared" si="2"/>
        <v>30</v>
      </c>
    </row>
    <row r="67" spans="1:162" s="33" customFormat="1" x14ac:dyDescent="0.2">
      <c r="A67" s="454"/>
      <c r="B67" s="445"/>
      <c r="C67" s="473"/>
      <c r="D67" s="128">
        <v>20</v>
      </c>
      <c r="E67" s="21" t="s">
        <v>287</v>
      </c>
      <c r="F67" s="21" t="s">
        <v>357</v>
      </c>
      <c r="G67" s="232">
        <v>23</v>
      </c>
      <c r="H67" s="194">
        <v>214</v>
      </c>
      <c r="I67" s="22">
        <f>(('X. táblázat'!F67+'X. táblázat'!E67)*2842.013)/1000</f>
        <v>1113.6427940500002</v>
      </c>
      <c r="J67" s="22">
        <f>'X. táblázat'!G67*252.387/1000</f>
        <v>775.58525100000008</v>
      </c>
      <c r="K67" s="83">
        <f t="shared" si="3"/>
        <v>38.779262550000006</v>
      </c>
      <c r="L67" s="38">
        <f t="shared" si="4"/>
        <v>55.68213970250001</v>
      </c>
      <c r="M67" s="199"/>
      <c r="N67" s="26">
        <v>20</v>
      </c>
      <c r="O67" s="26">
        <v>0</v>
      </c>
      <c r="P67" s="225">
        <f t="shared" si="2"/>
        <v>20</v>
      </c>
    </row>
    <row r="68" spans="1:162" s="33" customFormat="1" x14ac:dyDescent="0.2">
      <c r="A68" s="454"/>
      <c r="B68" s="445"/>
      <c r="C68" s="473"/>
      <c r="D68" s="128">
        <v>20</v>
      </c>
      <c r="E68" s="21" t="s">
        <v>288</v>
      </c>
      <c r="F68" s="21" t="s">
        <v>358</v>
      </c>
      <c r="G68" s="232">
        <v>21</v>
      </c>
      <c r="H68" s="194">
        <v>214</v>
      </c>
      <c r="I68" s="22">
        <f>(('X. táblázat'!F68+'X. táblázat'!E68)*2842.013)/1000</f>
        <v>1168.5789053400001</v>
      </c>
      <c r="J68" s="22">
        <f>'X. táblázat'!G68*252.387/1000</f>
        <v>775.58525100000008</v>
      </c>
      <c r="K68" s="83">
        <f t="shared" ref="K68:K99" si="5">+J68/D68</f>
        <v>38.779262550000006</v>
      </c>
      <c r="L68" s="38">
        <f t="shared" ref="L68:L99" si="6">+I68/D68</f>
        <v>58.428945267000003</v>
      </c>
      <c r="M68" s="199"/>
      <c r="N68" s="26">
        <v>20</v>
      </c>
      <c r="O68" s="26">
        <v>0</v>
      </c>
      <c r="P68" s="225">
        <f t="shared" si="2"/>
        <v>20</v>
      </c>
    </row>
    <row r="69" spans="1:162" s="33" customFormat="1" x14ac:dyDescent="0.2">
      <c r="A69" s="454"/>
      <c r="B69" s="445"/>
      <c r="C69" s="473"/>
      <c r="D69" s="128">
        <v>20</v>
      </c>
      <c r="E69" s="21" t="s">
        <v>289</v>
      </c>
      <c r="F69" s="21" t="s">
        <v>359</v>
      </c>
      <c r="G69" s="236" t="s">
        <v>502</v>
      </c>
      <c r="H69" s="194">
        <v>214</v>
      </c>
      <c r="I69" s="22">
        <f>(('X. táblázat'!F69+'X. táblázat'!E69)*2842.013)/1000</f>
        <v>1193.21915805</v>
      </c>
      <c r="J69" s="22">
        <f>'X. táblázat'!G69*252.387/1000</f>
        <v>785.93311800000004</v>
      </c>
      <c r="K69" s="83">
        <f t="shared" si="5"/>
        <v>39.296655900000005</v>
      </c>
      <c r="L69" s="38">
        <f t="shared" si="6"/>
        <v>59.660957902500002</v>
      </c>
      <c r="M69" s="199"/>
      <c r="N69" s="26">
        <v>20</v>
      </c>
      <c r="O69" s="26">
        <v>0</v>
      </c>
      <c r="P69" s="225">
        <f t="shared" ref="P69:P131" si="7">+N69-O69</f>
        <v>20</v>
      </c>
    </row>
    <row r="70" spans="1:162" s="33" customFormat="1" x14ac:dyDescent="0.2">
      <c r="A70" s="454"/>
      <c r="B70" s="445"/>
      <c r="C70" s="473"/>
      <c r="D70" s="128">
        <v>19</v>
      </c>
      <c r="E70" s="21" t="s">
        <v>290</v>
      </c>
      <c r="F70" s="21" t="s">
        <v>360</v>
      </c>
      <c r="G70" s="236" t="s">
        <v>500</v>
      </c>
      <c r="H70" s="194">
        <v>214</v>
      </c>
      <c r="I70" s="22">
        <f>(('X. táblázat'!F70+'X. táblázat'!E70)*2842.013)/1000</f>
        <v>1089.4004231599999</v>
      </c>
      <c r="J70" s="22">
        <f>'X. táblázat'!G70*252.387/1000</f>
        <v>788.70937500000002</v>
      </c>
      <c r="K70" s="83">
        <f t="shared" si="5"/>
        <v>41.511019736842108</v>
      </c>
      <c r="L70" s="38">
        <f t="shared" si="6"/>
        <v>57.336864376842101</v>
      </c>
      <c r="M70" s="199">
        <v>2</v>
      </c>
      <c r="N70" s="26">
        <v>20</v>
      </c>
      <c r="O70" s="26">
        <v>0</v>
      </c>
      <c r="P70" s="225">
        <f t="shared" si="7"/>
        <v>20</v>
      </c>
    </row>
    <row r="71" spans="1:162" s="134" customFormat="1" ht="13.5" thickBot="1" x14ac:dyDescent="0.25">
      <c r="A71" s="476"/>
      <c r="B71" s="472"/>
      <c r="C71" s="474"/>
      <c r="D71" s="141">
        <v>20</v>
      </c>
      <c r="E71" s="27" t="s">
        <v>291</v>
      </c>
      <c r="F71" s="27" t="s">
        <v>361</v>
      </c>
      <c r="G71" s="233">
        <v>21</v>
      </c>
      <c r="H71" s="370">
        <v>214</v>
      </c>
      <c r="I71" s="165">
        <f>(('X. táblázat'!F71+'X. táblázat'!E71)*2842.013)/1000</f>
        <v>1210.81121852</v>
      </c>
      <c r="J71" s="170">
        <f>'X. táblázat'!G71*252.387/1000</f>
        <v>775.58525100000008</v>
      </c>
      <c r="K71" s="88">
        <f t="shared" si="5"/>
        <v>38.779262550000006</v>
      </c>
      <c r="L71" s="133">
        <f t="shared" si="6"/>
        <v>60.540560925999998</v>
      </c>
      <c r="M71" s="200"/>
      <c r="N71" s="29">
        <v>20</v>
      </c>
      <c r="O71" s="29">
        <v>0</v>
      </c>
      <c r="P71" s="226">
        <f t="shared" si="7"/>
        <v>20</v>
      </c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</row>
    <row r="72" spans="1:162" s="138" customFormat="1" x14ac:dyDescent="0.2">
      <c r="A72" s="475" t="s">
        <v>139</v>
      </c>
      <c r="B72" s="466" t="s">
        <v>285</v>
      </c>
      <c r="C72" s="468">
        <v>23</v>
      </c>
      <c r="D72" s="142">
        <v>66</v>
      </c>
      <c r="E72" s="123" t="s">
        <v>284</v>
      </c>
      <c r="F72" s="123" t="s">
        <v>362</v>
      </c>
      <c r="G72" s="234">
        <v>21</v>
      </c>
      <c r="H72" s="316">
        <v>214</v>
      </c>
      <c r="I72" s="124">
        <f>(('X. táblázat'!F72+'X. táblázat'!E72)*2842.013)/1000</f>
        <v>7411.6004423100003</v>
      </c>
      <c r="J72" s="130">
        <f>'X. táblázat'!G72*252.387/1000</f>
        <v>2054.4301799999998</v>
      </c>
      <c r="K72" s="136">
        <f t="shared" si="5"/>
        <v>31.127729999999996</v>
      </c>
      <c r="L72" s="137">
        <f t="shared" si="6"/>
        <v>112.29697639863637</v>
      </c>
      <c r="M72" s="192"/>
      <c r="N72" s="37">
        <v>66</v>
      </c>
      <c r="O72" s="37">
        <v>0</v>
      </c>
      <c r="P72" s="224">
        <f t="shared" si="7"/>
        <v>66</v>
      </c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</row>
    <row r="73" spans="1:162" s="33" customFormat="1" x14ac:dyDescent="0.2">
      <c r="A73" s="454"/>
      <c r="B73" s="445"/>
      <c r="C73" s="473"/>
      <c r="D73" s="128">
        <v>66</v>
      </c>
      <c r="E73" s="21" t="s">
        <v>285</v>
      </c>
      <c r="F73" s="21" t="s">
        <v>363</v>
      </c>
      <c r="G73" s="232">
        <v>21</v>
      </c>
      <c r="H73" s="194">
        <v>214</v>
      </c>
      <c r="I73" s="22">
        <f>(('X. táblázat'!F73+'X. táblázat'!E73)*2842.013)/1000</f>
        <v>5720.4037663999998</v>
      </c>
      <c r="J73" s="22">
        <f>'X. táblázat'!G73*252.387/1000</f>
        <v>2042.8203780000001</v>
      </c>
      <c r="K73" s="83">
        <f t="shared" si="5"/>
        <v>30.951823909090912</v>
      </c>
      <c r="L73" s="38">
        <f t="shared" si="6"/>
        <v>86.672784339393942</v>
      </c>
      <c r="M73" s="199"/>
      <c r="N73" s="26">
        <v>66</v>
      </c>
      <c r="O73" s="26">
        <v>0</v>
      </c>
      <c r="P73" s="225">
        <f t="shared" si="7"/>
        <v>66</v>
      </c>
    </row>
    <row r="74" spans="1:162" s="134" customFormat="1" ht="13.5" thickBot="1" x14ac:dyDescent="0.25">
      <c r="A74" s="476"/>
      <c r="B74" s="472"/>
      <c r="C74" s="474"/>
      <c r="D74" s="141">
        <v>66</v>
      </c>
      <c r="E74" s="27" t="s">
        <v>286</v>
      </c>
      <c r="F74" s="27" t="s">
        <v>364</v>
      </c>
      <c r="G74" s="233">
        <v>23</v>
      </c>
      <c r="H74" s="370">
        <v>214</v>
      </c>
      <c r="I74" s="165">
        <f>(('X. táblázat'!F74+'X. táblázat'!E74)*2842.013)/1000</f>
        <v>6730.8246482900004</v>
      </c>
      <c r="J74" s="28">
        <f>'X. táblázat'!G74*252.387/1000</f>
        <v>2021.115096</v>
      </c>
      <c r="K74" s="88">
        <f t="shared" si="5"/>
        <v>30.622955999999999</v>
      </c>
      <c r="L74" s="133">
        <f t="shared" si="6"/>
        <v>101.98219164075758</v>
      </c>
      <c r="M74" s="200"/>
      <c r="N74" s="29">
        <v>66</v>
      </c>
      <c r="O74" s="29">
        <v>0</v>
      </c>
      <c r="P74" s="226">
        <f t="shared" si="7"/>
        <v>66</v>
      </c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</row>
    <row r="75" spans="1:162" s="138" customFormat="1" x14ac:dyDescent="0.2">
      <c r="A75" s="475" t="s">
        <v>140</v>
      </c>
      <c r="B75" s="466" t="s">
        <v>293</v>
      </c>
      <c r="C75" s="468">
        <v>23</v>
      </c>
      <c r="D75" s="142">
        <v>60</v>
      </c>
      <c r="E75" s="123" t="s">
        <v>292</v>
      </c>
      <c r="F75" s="123" t="s">
        <v>365</v>
      </c>
      <c r="G75" s="234">
        <v>21</v>
      </c>
      <c r="H75" s="316">
        <v>214</v>
      </c>
      <c r="I75" s="124">
        <f>(('X. táblázat'!F75+'X. táblázat'!E75)*2842.013)/1000</f>
        <v>5587.9375404700004</v>
      </c>
      <c r="J75" s="309">
        <f>'X. táblázat'!G75*252.387/1000</f>
        <v>2086.4833289999997</v>
      </c>
      <c r="K75" s="136">
        <f t="shared" si="5"/>
        <v>34.774722149999995</v>
      </c>
      <c r="L75" s="137">
        <f t="shared" si="6"/>
        <v>93.132292341166675</v>
      </c>
      <c r="M75" s="192"/>
      <c r="N75" s="37">
        <v>60</v>
      </c>
      <c r="O75" s="37">
        <v>0</v>
      </c>
      <c r="P75" s="224">
        <f t="shared" si="7"/>
        <v>60</v>
      </c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</row>
    <row r="76" spans="1:162" s="33" customFormat="1" x14ac:dyDescent="0.2">
      <c r="A76" s="454"/>
      <c r="B76" s="445"/>
      <c r="C76" s="473"/>
      <c r="D76" s="128">
        <v>30</v>
      </c>
      <c r="E76" s="21" t="s">
        <v>293</v>
      </c>
      <c r="F76" s="21" t="s">
        <v>366</v>
      </c>
      <c r="G76" s="232">
        <v>23</v>
      </c>
      <c r="H76" s="194">
        <v>214</v>
      </c>
      <c r="I76" s="22">
        <f>(('X. táblázat'!F76+'X. táblázat'!E76)*2842.013)/1000</f>
        <v>2165.5286456099998</v>
      </c>
      <c r="J76" s="22">
        <f>'X. táblázat'!G76*252.387/1000</f>
        <v>990.87136199999998</v>
      </c>
      <c r="K76" s="83">
        <f t="shared" si="5"/>
        <v>33.029045400000001</v>
      </c>
      <c r="L76" s="38">
        <f t="shared" si="6"/>
        <v>72.184288186999993</v>
      </c>
      <c r="M76" s="199"/>
      <c r="N76" s="26">
        <v>30</v>
      </c>
      <c r="O76" s="26">
        <v>0</v>
      </c>
      <c r="P76" s="225">
        <f t="shared" si="7"/>
        <v>30</v>
      </c>
    </row>
    <row r="77" spans="1:162" s="134" customFormat="1" ht="13.5" thickBot="1" x14ac:dyDescent="0.25">
      <c r="A77" s="476"/>
      <c r="B77" s="472"/>
      <c r="C77" s="474"/>
      <c r="D77" s="141">
        <v>60</v>
      </c>
      <c r="E77" s="27" t="s">
        <v>294</v>
      </c>
      <c r="F77" s="27" t="s">
        <v>367</v>
      </c>
      <c r="G77" s="233">
        <v>21</v>
      </c>
      <c r="H77" s="370">
        <v>214</v>
      </c>
      <c r="I77" s="165">
        <f>(('X. táblázat'!F77+'X. táblázat'!E77)*2842.013)/1000</f>
        <v>5075.4089160499989</v>
      </c>
      <c r="J77" s="170">
        <f>'X. táblázat'!G77*252.387/1000</f>
        <v>2086.2309420000001</v>
      </c>
      <c r="K77" s="88">
        <f t="shared" si="5"/>
        <v>34.770515700000004</v>
      </c>
      <c r="L77" s="133">
        <f t="shared" si="6"/>
        <v>84.590148600833317</v>
      </c>
      <c r="M77" s="200"/>
      <c r="N77" s="29">
        <v>60</v>
      </c>
      <c r="O77" s="29">
        <v>0</v>
      </c>
      <c r="P77" s="226">
        <f t="shared" si="7"/>
        <v>60</v>
      </c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</row>
    <row r="78" spans="1:162" s="138" customFormat="1" x14ac:dyDescent="0.2">
      <c r="A78" s="475" t="s">
        <v>141</v>
      </c>
      <c r="B78" s="466" t="s">
        <v>295</v>
      </c>
      <c r="C78" s="468">
        <v>20</v>
      </c>
      <c r="D78" s="142">
        <v>30</v>
      </c>
      <c r="E78" s="145">
        <v>268</v>
      </c>
      <c r="F78" s="145" t="s">
        <v>368</v>
      </c>
      <c r="G78" s="234">
        <v>21</v>
      </c>
      <c r="H78" s="316">
        <v>214</v>
      </c>
      <c r="I78" s="124">
        <f>(('X. táblázat'!F78+'X. táblázat'!E78)*2842.013)/1000</f>
        <v>5837.2957610899994</v>
      </c>
      <c r="J78" s="130">
        <f>'X. táblázat'!G78*252.387/1000</f>
        <v>977.99962500000004</v>
      </c>
      <c r="K78" s="136">
        <f t="shared" si="5"/>
        <v>32.599987500000005</v>
      </c>
      <c r="L78" s="137">
        <f t="shared" si="6"/>
        <v>194.57652536966665</v>
      </c>
      <c r="M78" s="192"/>
      <c r="N78" s="37">
        <v>30</v>
      </c>
      <c r="O78" s="37">
        <v>0</v>
      </c>
      <c r="P78" s="224">
        <f t="shared" si="7"/>
        <v>30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</row>
    <row r="79" spans="1:162" s="33" customFormat="1" x14ac:dyDescent="0.2">
      <c r="A79" s="453"/>
      <c r="B79" s="447"/>
      <c r="C79" s="469"/>
      <c r="D79" s="128">
        <v>30</v>
      </c>
      <c r="E79" s="117">
        <v>266</v>
      </c>
      <c r="F79" s="117" t="s">
        <v>369</v>
      </c>
      <c r="G79" s="236" t="s">
        <v>503</v>
      </c>
      <c r="H79" s="194">
        <v>214</v>
      </c>
      <c r="I79" s="22">
        <f>(('X. táblázat'!F79+'X. táblázat'!E79)*2842.013)/1000</f>
        <v>2832.6343571000002</v>
      </c>
      <c r="J79" s="22">
        <f>'X. táblázat'!G79*252.387/1000</f>
        <v>2015.310195</v>
      </c>
      <c r="K79" s="83">
        <f t="shared" si="5"/>
        <v>67.177006500000005</v>
      </c>
      <c r="L79" s="38">
        <f t="shared" si="6"/>
        <v>94.421145236666675</v>
      </c>
      <c r="M79" s="194"/>
      <c r="N79" s="26">
        <v>30</v>
      </c>
      <c r="O79" s="26">
        <v>0</v>
      </c>
      <c r="P79" s="225">
        <f t="shared" si="7"/>
        <v>30</v>
      </c>
    </row>
    <row r="80" spans="1:162" s="33" customFormat="1" x14ac:dyDescent="0.2">
      <c r="A80" s="453"/>
      <c r="B80" s="447"/>
      <c r="C80" s="469"/>
      <c r="D80" s="128">
        <v>60</v>
      </c>
      <c r="E80" s="117">
        <v>267</v>
      </c>
      <c r="F80" s="117" t="s">
        <v>370</v>
      </c>
      <c r="G80" s="232">
        <v>23</v>
      </c>
      <c r="H80" s="194">
        <v>214</v>
      </c>
      <c r="I80" s="22">
        <f>(('X. táblázat'!F80+'X. táblázat'!E80)*2842.013)/1000</f>
        <v>1527.8093485400002</v>
      </c>
      <c r="J80" s="22">
        <f>'X. táblázat'!G80*252.387/1000</f>
        <v>1000.2096809999999</v>
      </c>
      <c r="K80" s="83">
        <f t="shared" si="5"/>
        <v>16.670161349999997</v>
      </c>
      <c r="L80" s="38">
        <f t="shared" si="6"/>
        <v>25.463489142333337</v>
      </c>
      <c r="M80" s="194"/>
      <c r="N80" s="26">
        <v>60</v>
      </c>
      <c r="O80" s="26">
        <v>0</v>
      </c>
      <c r="P80" s="225">
        <f t="shared" si="7"/>
        <v>60</v>
      </c>
    </row>
    <row r="81" spans="1:162" s="134" customFormat="1" ht="13.5" thickBot="1" x14ac:dyDescent="0.25">
      <c r="A81" s="476"/>
      <c r="B81" s="472"/>
      <c r="C81" s="474"/>
      <c r="D81" s="141">
        <v>60</v>
      </c>
      <c r="E81" s="27" t="s">
        <v>295</v>
      </c>
      <c r="F81" s="27" t="s">
        <v>371</v>
      </c>
      <c r="G81" s="233">
        <v>23</v>
      </c>
      <c r="H81" s="370">
        <v>214</v>
      </c>
      <c r="I81" s="165">
        <f>(('X. táblázat'!F81+'X. táblázat'!E81)*2842.013)/1000</f>
        <v>2247.4354602699996</v>
      </c>
      <c r="J81" s="28">
        <f>'X. táblázat'!G81*252.387/1000</f>
        <v>1955.9992500000001</v>
      </c>
      <c r="K81" s="88">
        <f t="shared" si="5"/>
        <v>32.599987500000005</v>
      </c>
      <c r="L81" s="133">
        <f t="shared" si="6"/>
        <v>37.457257671166658</v>
      </c>
      <c r="M81" s="200"/>
      <c r="N81" s="29">
        <v>60</v>
      </c>
      <c r="O81" s="29">
        <v>0</v>
      </c>
      <c r="P81" s="226">
        <f t="shared" si="7"/>
        <v>60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</row>
    <row r="82" spans="1:162" s="138" customFormat="1" x14ac:dyDescent="0.2">
      <c r="A82" s="475" t="s">
        <v>142</v>
      </c>
      <c r="B82" s="466" t="s">
        <v>297</v>
      </c>
      <c r="C82" s="468">
        <v>21</v>
      </c>
      <c r="D82" s="142">
        <v>66</v>
      </c>
      <c r="E82" s="123" t="s">
        <v>296</v>
      </c>
      <c r="F82" s="123" t="s">
        <v>373</v>
      </c>
      <c r="G82" s="234">
        <v>22</v>
      </c>
      <c r="H82" s="316">
        <v>214</v>
      </c>
      <c r="I82" s="124">
        <f>(('X. táblázat'!F82+'X. táblázat'!E82)*2842.013)/1000</f>
        <v>11551.589199539998</v>
      </c>
      <c r="J82" s="309">
        <f>'X. táblázat'!G82*252.387/1000</f>
        <v>2021.115096</v>
      </c>
      <c r="K82" s="136">
        <f t="shared" si="5"/>
        <v>30.622955999999999</v>
      </c>
      <c r="L82" s="137">
        <f t="shared" si="6"/>
        <v>175.02407878090906</v>
      </c>
      <c r="M82" s="192"/>
      <c r="N82" s="37">
        <v>66</v>
      </c>
      <c r="O82" s="37">
        <v>0</v>
      </c>
      <c r="P82" s="224">
        <f t="shared" si="7"/>
        <v>66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</row>
    <row r="83" spans="1:162" s="33" customFormat="1" x14ac:dyDescent="0.2">
      <c r="A83" s="454"/>
      <c r="B83" s="445"/>
      <c r="C83" s="473"/>
      <c r="D83" s="128">
        <v>66</v>
      </c>
      <c r="E83" s="21" t="s">
        <v>297</v>
      </c>
      <c r="F83" s="21" t="s">
        <v>374</v>
      </c>
      <c r="G83" s="236" t="s">
        <v>504</v>
      </c>
      <c r="H83" s="194">
        <v>214</v>
      </c>
      <c r="I83" s="22">
        <f>(('X. táblázat'!F83+'X. táblázat'!E83)*2842.013)/1000</f>
        <v>2820.52738172</v>
      </c>
      <c r="J83" s="22">
        <f>'X. táblázat'!G83*252.387/1000</f>
        <v>2022.629418</v>
      </c>
      <c r="K83" s="83">
        <f t="shared" si="5"/>
        <v>30.645900272727271</v>
      </c>
      <c r="L83" s="38">
        <f t="shared" si="6"/>
        <v>42.73526335939394</v>
      </c>
      <c r="M83" s="199"/>
      <c r="N83" s="26">
        <v>66</v>
      </c>
      <c r="O83" s="26">
        <v>0</v>
      </c>
      <c r="P83" s="225">
        <f t="shared" si="7"/>
        <v>66</v>
      </c>
    </row>
    <row r="84" spans="1:162" s="33" customFormat="1" x14ac:dyDescent="0.2">
      <c r="A84" s="454"/>
      <c r="B84" s="445"/>
      <c r="C84" s="473"/>
      <c r="D84" s="128">
        <v>66</v>
      </c>
      <c r="E84" s="21" t="s">
        <v>298</v>
      </c>
      <c r="F84" s="21" t="s">
        <v>375</v>
      </c>
      <c r="G84" s="232">
        <v>22.5</v>
      </c>
      <c r="H84" s="194">
        <v>214</v>
      </c>
      <c r="I84" s="22">
        <f>(('X. táblázat'!F84+'X. táblázat'!E84)*2842.013)/1000</f>
        <v>5750.6996249799995</v>
      </c>
      <c r="J84" s="22">
        <f>'X. táblázat'!G84*252.387/1000</f>
        <v>2044.0823130000001</v>
      </c>
      <c r="K84" s="83">
        <f t="shared" si="5"/>
        <v>30.970944136363638</v>
      </c>
      <c r="L84" s="38">
        <f t="shared" si="6"/>
        <v>87.131812499696963</v>
      </c>
      <c r="M84" s="199"/>
      <c r="N84" s="26">
        <v>66</v>
      </c>
      <c r="O84" s="26">
        <v>0</v>
      </c>
      <c r="P84" s="225">
        <f t="shared" si="7"/>
        <v>66</v>
      </c>
    </row>
    <row r="85" spans="1:162" s="134" customFormat="1" ht="13.5" thickBot="1" x14ac:dyDescent="0.25">
      <c r="A85" s="476"/>
      <c r="B85" s="472"/>
      <c r="C85" s="474"/>
      <c r="D85" s="141">
        <v>60</v>
      </c>
      <c r="E85" s="27" t="s">
        <v>299</v>
      </c>
      <c r="F85" s="27" t="s">
        <v>376</v>
      </c>
      <c r="G85" s="233">
        <v>21</v>
      </c>
      <c r="H85" s="370">
        <v>214</v>
      </c>
      <c r="I85" s="165">
        <f>(('X. táblázat'!F85+'X. táblázat'!E85)*2842.013)/1000</f>
        <v>2860.54292476</v>
      </c>
      <c r="J85" s="170">
        <f>'X. táblázat'!G85*252.387/1000</f>
        <v>1967.861439</v>
      </c>
      <c r="K85" s="88">
        <f t="shared" si="5"/>
        <v>32.79769065</v>
      </c>
      <c r="L85" s="133">
        <f t="shared" si="6"/>
        <v>47.675715412666669</v>
      </c>
      <c r="M85" s="200"/>
      <c r="N85" s="29">
        <v>60</v>
      </c>
      <c r="O85" s="29">
        <v>0</v>
      </c>
      <c r="P85" s="226">
        <f t="shared" si="7"/>
        <v>60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</row>
    <row r="86" spans="1:162" s="138" customFormat="1" x14ac:dyDescent="0.2">
      <c r="A86" s="497" t="s">
        <v>143</v>
      </c>
      <c r="B86" s="500" t="s">
        <v>300</v>
      </c>
      <c r="C86" s="503">
        <v>23</v>
      </c>
      <c r="D86" s="142">
        <v>30</v>
      </c>
      <c r="E86" s="145">
        <v>276</v>
      </c>
      <c r="F86" s="145" t="s">
        <v>377</v>
      </c>
      <c r="G86" s="237" t="s">
        <v>504</v>
      </c>
      <c r="H86" s="316">
        <v>214</v>
      </c>
      <c r="I86" s="124">
        <f>(('X. táblázat'!F86+'X. táblázat'!E86)*2842.013)/1000</f>
        <v>6985.2984923099993</v>
      </c>
      <c r="J86" s="130">
        <f>'X. táblázat'!G86*252.387/1000</f>
        <v>977.99962500000004</v>
      </c>
      <c r="K86" s="136">
        <f t="shared" si="5"/>
        <v>32.599987500000005</v>
      </c>
      <c r="L86" s="137">
        <f t="shared" si="6"/>
        <v>232.84328307699997</v>
      </c>
      <c r="M86" s="208"/>
      <c r="N86" s="37">
        <v>30</v>
      </c>
      <c r="O86" s="37">
        <v>0</v>
      </c>
      <c r="P86" s="224">
        <f t="shared" si="7"/>
        <v>30</v>
      </c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</row>
    <row r="87" spans="1:162" s="33" customFormat="1" x14ac:dyDescent="0.2">
      <c r="A87" s="498"/>
      <c r="B87" s="501"/>
      <c r="C87" s="504"/>
      <c r="D87" s="128">
        <v>30</v>
      </c>
      <c r="E87" s="117">
        <v>277</v>
      </c>
      <c r="F87" s="117" t="s">
        <v>378</v>
      </c>
      <c r="G87" s="236" t="s">
        <v>504</v>
      </c>
      <c r="H87" s="194">
        <v>214</v>
      </c>
      <c r="I87" s="22">
        <f>(('X. táblázat'!F87+'X. táblázat'!E87)*2842.013)/1000</f>
        <v>1323.09915215</v>
      </c>
      <c r="J87" s="22">
        <f>'X. táblázat'!G87*252.387/1000</f>
        <v>1037.3105699999999</v>
      </c>
      <c r="K87" s="83">
        <f t="shared" si="5"/>
        <v>34.577018999999993</v>
      </c>
      <c r="L87" s="38">
        <f t="shared" si="6"/>
        <v>44.103305071666668</v>
      </c>
      <c r="M87" s="203"/>
      <c r="N87" s="26">
        <v>30</v>
      </c>
      <c r="O87" s="26">
        <v>0</v>
      </c>
      <c r="P87" s="225">
        <f t="shared" si="7"/>
        <v>30</v>
      </c>
    </row>
    <row r="88" spans="1:162" s="33" customFormat="1" x14ac:dyDescent="0.2">
      <c r="A88" s="498"/>
      <c r="B88" s="501"/>
      <c r="C88" s="504"/>
      <c r="D88" s="128">
        <v>30</v>
      </c>
      <c r="E88" s="21" t="s">
        <v>300</v>
      </c>
      <c r="F88" s="21" t="s">
        <v>379</v>
      </c>
      <c r="G88" s="232">
        <v>21</v>
      </c>
      <c r="H88" s="194">
        <v>214</v>
      </c>
      <c r="I88" s="22">
        <f>(('X. táblázat'!F88+'X. táblázat'!E88)*2842.013)/1000</f>
        <v>743.21481962999997</v>
      </c>
      <c r="J88" s="22">
        <f>'X. táblázat'!G88*252.387/1000</f>
        <v>977.99962500000004</v>
      </c>
      <c r="K88" s="83">
        <f t="shared" si="5"/>
        <v>32.599987500000005</v>
      </c>
      <c r="L88" s="38">
        <f t="shared" si="6"/>
        <v>24.773827320999999</v>
      </c>
      <c r="M88" s="203"/>
      <c r="N88" s="26">
        <v>30</v>
      </c>
      <c r="O88" s="26">
        <v>0</v>
      </c>
      <c r="P88" s="225">
        <f t="shared" si="7"/>
        <v>30</v>
      </c>
    </row>
    <row r="89" spans="1:162" s="33" customFormat="1" x14ac:dyDescent="0.2">
      <c r="A89" s="498"/>
      <c r="B89" s="501"/>
      <c r="C89" s="504"/>
      <c r="D89" s="128">
        <v>20</v>
      </c>
      <c r="E89" s="21" t="s">
        <v>301</v>
      </c>
      <c r="F89" s="21" t="s">
        <v>380</v>
      </c>
      <c r="G89" s="232">
        <v>22</v>
      </c>
      <c r="H89" s="194">
        <v>214</v>
      </c>
      <c r="I89" s="22">
        <f>(('X. táblázat'!F89+'X. táblázat'!E89)*2842.013)/1000</f>
        <v>2010.29789555</v>
      </c>
      <c r="J89" s="22">
        <f>'X. táblázat'!G89*252.387/1000</f>
        <v>770.53751100000011</v>
      </c>
      <c r="K89" s="83">
        <f t="shared" si="5"/>
        <v>38.526875550000007</v>
      </c>
      <c r="L89" s="38">
        <f t="shared" si="6"/>
        <v>100.5148947775</v>
      </c>
      <c r="M89" s="203"/>
      <c r="N89" s="26">
        <v>20</v>
      </c>
      <c r="O89" s="26">
        <v>0</v>
      </c>
      <c r="P89" s="225">
        <f t="shared" si="7"/>
        <v>20</v>
      </c>
    </row>
    <row r="90" spans="1:162" s="33" customFormat="1" x14ac:dyDescent="0.2">
      <c r="A90" s="498"/>
      <c r="B90" s="501"/>
      <c r="C90" s="504"/>
      <c r="D90" s="128">
        <v>20</v>
      </c>
      <c r="E90" s="21" t="s">
        <v>302</v>
      </c>
      <c r="F90" s="21" t="s">
        <v>381</v>
      </c>
      <c r="G90" s="236">
        <v>22</v>
      </c>
      <c r="H90" s="194">
        <v>214</v>
      </c>
      <c r="I90" s="22">
        <f>(('X. táblázat'!F90+'X. táblázat'!E90)*2842.013)/1000</f>
        <v>1622.5904820899998</v>
      </c>
      <c r="J90" s="22">
        <f>'X. táblázat'!G90*252.387/1000</f>
        <v>771.79944599999999</v>
      </c>
      <c r="K90" s="83">
        <f t="shared" si="5"/>
        <v>38.589972299999999</v>
      </c>
      <c r="L90" s="38">
        <f t="shared" si="6"/>
        <v>81.129524104499993</v>
      </c>
      <c r="M90" s="203"/>
      <c r="N90" s="26">
        <v>20</v>
      </c>
      <c r="O90" s="26">
        <v>0</v>
      </c>
      <c r="P90" s="225">
        <f t="shared" si="7"/>
        <v>20</v>
      </c>
    </row>
    <row r="91" spans="1:162" s="33" customFormat="1" x14ac:dyDescent="0.2">
      <c r="A91" s="498"/>
      <c r="B91" s="501"/>
      <c r="C91" s="504"/>
      <c r="D91" s="128">
        <v>20</v>
      </c>
      <c r="E91" s="21" t="s">
        <v>303</v>
      </c>
      <c r="F91" s="21" t="s">
        <v>382</v>
      </c>
      <c r="G91" s="236">
        <v>23</v>
      </c>
      <c r="H91" s="194">
        <v>214</v>
      </c>
      <c r="I91" s="22">
        <f>(('X. táblázat'!F91+'X. táblázat'!E91)*2842.013)/1000</f>
        <v>1858.90386304</v>
      </c>
      <c r="J91" s="22">
        <f>'X. táblázat'!G91*252.387/1000</f>
        <v>770.53751100000011</v>
      </c>
      <c r="K91" s="83">
        <f t="shared" si="5"/>
        <v>38.526875550000007</v>
      </c>
      <c r="L91" s="38">
        <f t="shared" si="6"/>
        <v>92.945193152000002</v>
      </c>
      <c r="M91" s="203"/>
      <c r="N91" s="26">
        <v>20</v>
      </c>
      <c r="O91" s="26">
        <v>0</v>
      </c>
      <c r="P91" s="225">
        <f t="shared" si="7"/>
        <v>20</v>
      </c>
    </row>
    <row r="92" spans="1:162" s="33" customFormat="1" x14ac:dyDescent="0.2">
      <c r="A92" s="498"/>
      <c r="B92" s="501"/>
      <c r="C92" s="504"/>
      <c r="D92" s="128">
        <v>20</v>
      </c>
      <c r="E92" s="21" t="s">
        <v>304</v>
      </c>
      <c r="F92" s="21" t="s">
        <v>383</v>
      </c>
      <c r="G92" s="232">
        <v>21</v>
      </c>
      <c r="H92" s="194">
        <v>214</v>
      </c>
      <c r="I92" s="22">
        <f>(('X. táblázat'!F92+'X. táblázat'!E92)*2842.013)/1000</f>
        <v>1174.8881742000001</v>
      </c>
      <c r="J92" s="22">
        <f>'X. táblázat'!G92*252.387/1000</f>
        <v>775.58525100000008</v>
      </c>
      <c r="K92" s="83">
        <f t="shared" si="5"/>
        <v>38.779262550000006</v>
      </c>
      <c r="L92" s="38">
        <f t="shared" si="6"/>
        <v>58.744408710000002</v>
      </c>
      <c r="M92" s="203"/>
      <c r="N92" s="26">
        <v>20</v>
      </c>
      <c r="O92" s="26">
        <v>0</v>
      </c>
      <c r="P92" s="225">
        <f t="shared" si="7"/>
        <v>20</v>
      </c>
    </row>
    <row r="93" spans="1:162" s="33" customFormat="1" x14ac:dyDescent="0.2">
      <c r="A93" s="498"/>
      <c r="B93" s="501"/>
      <c r="C93" s="504"/>
      <c r="D93" s="128">
        <v>20</v>
      </c>
      <c r="E93" s="21" t="s">
        <v>305</v>
      </c>
      <c r="F93" s="21" t="s">
        <v>384</v>
      </c>
      <c r="G93" s="232">
        <v>22</v>
      </c>
      <c r="H93" s="194">
        <v>214</v>
      </c>
      <c r="I93" s="22">
        <f>(('X. táblázat'!F93+'X. táblázat'!E93)*2842.013)/1000</f>
        <v>2082.1439841900001</v>
      </c>
      <c r="J93" s="22">
        <f>'X. táblázat'!G93*252.387/1000</f>
        <v>775.58525100000008</v>
      </c>
      <c r="K93" s="83">
        <f t="shared" si="5"/>
        <v>38.779262550000006</v>
      </c>
      <c r="L93" s="38">
        <f t="shared" si="6"/>
        <v>104.10719920950001</v>
      </c>
      <c r="M93" s="203"/>
      <c r="N93" s="26">
        <v>20</v>
      </c>
      <c r="O93" s="26">
        <v>0</v>
      </c>
      <c r="P93" s="225">
        <f t="shared" si="7"/>
        <v>20</v>
      </c>
    </row>
    <row r="94" spans="1:162" s="134" customFormat="1" ht="13.5" thickBot="1" x14ac:dyDescent="0.25">
      <c r="A94" s="499"/>
      <c r="B94" s="502"/>
      <c r="C94" s="505"/>
      <c r="D94" s="141">
        <v>20</v>
      </c>
      <c r="E94" s="27" t="s">
        <v>306</v>
      </c>
      <c r="F94" s="27" t="s">
        <v>385</v>
      </c>
      <c r="G94" s="233">
        <v>21</v>
      </c>
      <c r="H94" s="370">
        <v>214</v>
      </c>
      <c r="I94" s="165">
        <f>(('X. táblázat'!F94+'X. táblázat'!E94)*2842.013)/1000</f>
        <v>774.98852497000007</v>
      </c>
      <c r="J94" s="28">
        <f>'X. táblázat'!G94*252.387/1000</f>
        <v>775.58525100000008</v>
      </c>
      <c r="K94" s="88">
        <f t="shared" si="5"/>
        <v>38.779262550000006</v>
      </c>
      <c r="L94" s="133">
        <f t="shared" si="6"/>
        <v>38.749426248500001</v>
      </c>
      <c r="M94" s="204"/>
      <c r="N94" s="29">
        <v>20</v>
      </c>
      <c r="O94" s="29">
        <v>0</v>
      </c>
      <c r="P94" s="226">
        <f t="shared" si="7"/>
        <v>20</v>
      </c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</row>
    <row r="95" spans="1:162" s="138" customFormat="1" x14ac:dyDescent="0.2">
      <c r="A95" s="475" t="s">
        <v>172</v>
      </c>
      <c r="B95" s="466" t="s">
        <v>308</v>
      </c>
      <c r="C95" s="468">
        <v>23</v>
      </c>
      <c r="D95" s="142">
        <v>60</v>
      </c>
      <c r="E95" s="123" t="s">
        <v>307</v>
      </c>
      <c r="F95" s="123" t="s">
        <v>386</v>
      </c>
      <c r="G95" s="234">
        <v>23</v>
      </c>
      <c r="H95" s="316">
        <v>214</v>
      </c>
      <c r="I95" s="124">
        <f>(('X. táblázat'!F95+'X. táblázat'!E95)*2842.013)/1000</f>
        <v>9373.4135960799995</v>
      </c>
      <c r="J95" s="309">
        <f>'X. táblázat'!G95*252.387/1000</f>
        <v>2015.310195</v>
      </c>
      <c r="K95" s="136">
        <f t="shared" si="5"/>
        <v>33.588503250000002</v>
      </c>
      <c r="L95" s="137">
        <f t="shared" si="6"/>
        <v>156.22355993466667</v>
      </c>
      <c r="M95" s="192"/>
      <c r="N95" s="37">
        <v>60</v>
      </c>
      <c r="O95" s="37">
        <v>0</v>
      </c>
      <c r="P95" s="224">
        <f t="shared" si="7"/>
        <v>60</v>
      </c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</row>
    <row r="96" spans="1:162" s="33" customFormat="1" x14ac:dyDescent="0.2">
      <c r="A96" s="454"/>
      <c r="B96" s="445"/>
      <c r="C96" s="473"/>
      <c r="D96" s="128">
        <v>31</v>
      </c>
      <c r="E96" s="21" t="s">
        <v>308</v>
      </c>
      <c r="F96" s="21" t="s">
        <v>387</v>
      </c>
      <c r="G96" s="232">
        <v>23</v>
      </c>
      <c r="H96" s="194">
        <v>214</v>
      </c>
      <c r="I96" s="22">
        <f>(('X. táblázat'!F96+'X. táblázat'!E96)*2842.013)/1000</f>
        <v>1406.3417129199997</v>
      </c>
      <c r="J96" s="22">
        <f>'X. táblázat'!G96*252.387/1000</f>
        <v>1070.8780409999999</v>
      </c>
      <c r="K96" s="83">
        <f t="shared" si="5"/>
        <v>34.544452935483868</v>
      </c>
      <c r="L96" s="38">
        <f t="shared" si="6"/>
        <v>45.365861707096762</v>
      </c>
      <c r="M96" s="199"/>
      <c r="N96" s="26">
        <v>31</v>
      </c>
      <c r="O96" s="26">
        <v>0</v>
      </c>
      <c r="P96" s="225">
        <f t="shared" si="7"/>
        <v>31</v>
      </c>
    </row>
    <row r="97" spans="1:162" s="134" customFormat="1" ht="13.5" thickBot="1" x14ac:dyDescent="0.25">
      <c r="A97" s="476"/>
      <c r="B97" s="472"/>
      <c r="C97" s="474"/>
      <c r="D97" s="141">
        <v>60</v>
      </c>
      <c r="E97" s="146">
        <v>286</v>
      </c>
      <c r="F97" s="146" t="s">
        <v>388</v>
      </c>
      <c r="G97" s="233">
        <v>23</v>
      </c>
      <c r="H97" s="370">
        <v>214</v>
      </c>
      <c r="I97" s="165">
        <f>(('X. táblázat'!F97+'X. táblázat'!E97)*2842.013)/1000</f>
        <v>2532.2051628700001</v>
      </c>
      <c r="J97" s="170">
        <f>'X. táblázat'!G97*252.387/1000</f>
        <v>2015.310195</v>
      </c>
      <c r="K97" s="88">
        <f t="shared" si="5"/>
        <v>33.588503250000002</v>
      </c>
      <c r="L97" s="133">
        <f t="shared" si="6"/>
        <v>42.203419381166668</v>
      </c>
      <c r="M97" s="200"/>
      <c r="N97" s="29">
        <v>60</v>
      </c>
      <c r="O97" s="29">
        <v>0</v>
      </c>
      <c r="P97" s="226">
        <f t="shared" si="7"/>
        <v>60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</row>
    <row r="98" spans="1:162" s="134" customFormat="1" ht="13.5" thickBot="1" x14ac:dyDescent="0.25">
      <c r="A98" s="209">
        <v>6068</v>
      </c>
      <c r="B98" s="279">
        <v>287</v>
      </c>
      <c r="C98" s="210"/>
      <c r="D98" s="202">
        <v>30</v>
      </c>
      <c r="E98" s="207">
        <v>287</v>
      </c>
      <c r="F98" s="207" t="s">
        <v>389</v>
      </c>
      <c r="G98" s="232">
        <v>21</v>
      </c>
      <c r="H98" s="316">
        <v>214</v>
      </c>
      <c r="I98" s="124">
        <f>(('X. táblázat'!F98+'X. táblázat'!E98)*2842.013)/1000</f>
        <v>1966.672996</v>
      </c>
      <c r="J98" s="152">
        <f>'X. táblázat'!G98*252.387/1000</f>
        <v>977.99962500000004</v>
      </c>
      <c r="K98" s="83">
        <f t="shared" si="5"/>
        <v>32.599987500000005</v>
      </c>
      <c r="L98" s="38">
        <f t="shared" si="6"/>
        <v>65.55576653333334</v>
      </c>
      <c r="M98" s="199"/>
      <c r="N98" s="26">
        <v>30</v>
      </c>
      <c r="O98" s="26">
        <v>0</v>
      </c>
      <c r="P98" s="225">
        <f>+N98-O98</f>
        <v>30</v>
      </c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</row>
    <row r="99" spans="1:162" s="155" customFormat="1" ht="13.5" thickBot="1" x14ac:dyDescent="0.25">
      <c r="A99" s="147" t="s">
        <v>112</v>
      </c>
      <c r="B99" s="272">
        <v>152</v>
      </c>
      <c r="C99" s="149"/>
      <c r="D99" s="150">
        <v>74</v>
      </c>
      <c r="E99" s="247">
        <v>152</v>
      </c>
      <c r="F99" s="151" t="s">
        <v>418</v>
      </c>
      <c r="G99" s="239">
        <v>22</v>
      </c>
      <c r="H99" s="316">
        <v>214</v>
      </c>
      <c r="I99" s="124">
        <f>(('X. táblázat'!F99+'X. táblázat'!E99)*2842.013)/1000</f>
        <v>7758.6954900000001</v>
      </c>
      <c r="J99" s="152">
        <f>'X. táblázat'!G99*252.387/1000</f>
        <v>2668.9925250000001</v>
      </c>
      <c r="K99" s="153">
        <f t="shared" si="5"/>
        <v>36.067466554054057</v>
      </c>
      <c r="L99" s="154">
        <f t="shared" si="6"/>
        <v>104.84723635135136</v>
      </c>
      <c r="M99" s="211">
        <v>1</v>
      </c>
      <c r="N99" s="148">
        <v>75</v>
      </c>
      <c r="O99" s="148">
        <v>0</v>
      </c>
      <c r="P99" s="228">
        <f t="shared" si="7"/>
        <v>75</v>
      </c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</row>
    <row r="100" spans="1:162" s="155" customFormat="1" ht="13.5" thickBot="1" x14ac:dyDescent="0.25">
      <c r="A100" s="147" t="s">
        <v>113</v>
      </c>
      <c r="B100" s="272">
        <v>153</v>
      </c>
      <c r="C100" s="149"/>
      <c r="D100" s="150">
        <v>17</v>
      </c>
      <c r="E100" s="247">
        <v>153</v>
      </c>
      <c r="F100" s="151" t="s">
        <v>445</v>
      </c>
      <c r="G100" s="240">
        <v>21</v>
      </c>
      <c r="H100" s="316">
        <v>214</v>
      </c>
      <c r="I100" s="124">
        <f>(('X. táblázat'!F100+'X. táblázat'!E100)*2842.013)/1000</f>
        <v>1938.2528659999998</v>
      </c>
      <c r="J100" s="152">
        <f>'X. táblázat'!G100*252.387/1000</f>
        <v>488.11645799999997</v>
      </c>
      <c r="K100" s="153">
        <f t="shared" ref="K100:K134" si="8">+J100/D100</f>
        <v>28.712732823529411</v>
      </c>
      <c r="L100" s="154">
        <f t="shared" ref="L100:L134" si="9">+I100/D100</f>
        <v>114.01487447058823</v>
      </c>
      <c r="M100" s="212"/>
      <c r="N100" s="148">
        <v>17</v>
      </c>
      <c r="O100" s="148">
        <v>0</v>
      </c>
      <c r="P100" s="228">
        <f t="shared" si="7"/>
        <v>17</v>
      </c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</row>
    <row r="101" spans="1:162" s="155" customFormat="1" ht="13.5" thickBot="1" x14ac:dyDescent="0.25">
      <c r="A101" s="147" t="s">
        <v>114</v>
      </c>
      <c r="B101" s="272">
        <v>154</v>
      </c>
      <c r="C101" s="149"/>
      <c r="D101" s="150">
        <v>58</v>
      </c>
      <c r="E101" s="247">
        <v>154</v>
      </c>
      <c r="F101" s="151" t="s">
        <v>419</v>
      </c>
      <c r="G101" s="240">
        <v>21</v>
      </c>
      <c r="H101" s="316">
        <v>214</v>
      </c>
      <c r="I101" s="124">
        <f>(('X. táblázat'!F101+'X. táblázat'!E101)*2842.013)/1000</f>
        <v>4561.4308650000003</v>
      </c>
      <c r="J101" s="152">
        <f>'X. táblázat'!G101*252.387/1000</f>
        <v>1702.0979280000001</v>
      </c>
      <c r="K101" s="153">
        <f t="shared" si="8"/>
        <v>29.346516000000001</v>
      </c>
      <c r="L101" s="154">
        <f t="shared" si="9"/>
        <v>78.645359741379309</v>
      </c>
      <c r="M101" s="212">
        <v>2</v>
      </c>
      <c r="N101" s="148">
        <v>60</v>
      </c>
      <c r="O101" s="152">
        <v>0</v>
      </c>
      <c r="P101" s="228">
        <f t="shared" si="7"/>
        <v>60</v>
      </c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</row>
    <row r="102" spans="1:162" s="155" customFormat="1" ht="13.5" thickBot="1" x14ac:dyDescent="0.25">
      <c r="A102" s="147" t="s">
        <v>115</v>
      </c>
      <c r="B102" s="272">
        <v>156</v>
      </c>
      <c r="C102" s="149"/>
      <c r="D102" s="150">
        <v>60</v>
      </c>
      <c r="E102" s="247">
        <v>156</v>
      </c>
      <c r="F102" s="151" t="s">
        <v>421</v>
      </c>
      <c r="G102" s="239" t="s">
        <v>505</v>
      </c>
      <c r="H102" s="316">
        <v>214</v>
      </c>
      <c r="I102" s="124">
        <f>(('X. táblázat'!F102+'X. táblázat'!E102)*2842.013)/1000</f>
        <v>4535.8527479999993</v>
      </c>
      <c r="J102" s="152">
        <f>'X. táblázat'!G102*252.387/1000</f>
        <v>1702.0979280000001</v>
      </c>
      <c r="K102" s="153">
        <f t="shared" si="8"/>
        <v>28.368298800000002</v>
      </c>
      <c r="L102" s="154">
        <f t="shared" si="9"/>
        <v>75.597545799999992</v>
      </c>
      <c r="M102" s="212"/>
      <c r="N102" s="148">
        <v>60</v>
      </c>
      <c r="O102" s="152">
        <v>0</v>
      </c>
      <c r="P102" s="228">
        <f t="shared" si="7"/>
        <v>60</v>
      </c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</row>
    <row r="103" spans="1:162" s="155" customFormat="1" ht="13.5" thickBot="1" x14ac:dyDescent="0.25">
      <c r="A103" s="147" t="s">
        <v>117</v>
      </c>
      <c r="B103" s="272">
        <v>161</v>
      </c>
      <c r="C103" s="149"/>
      <c r="D103" s="150">
        <v>36</v>
      </c>
      <c r="E103" s="247">
        <v>161</v>
      </c>
      <c r="F103" s="151" t="s">
        <v>422</v>
      </c>
      <c r="G103" s="239" t="s">
        <v>501</v>
      </c>
      <c r="H103" s="316">
        <v>214</v>
      </c>
      <c r="I103" s="124">
        <f>(('X. táblázat'!F103+'X. táblázat'!E103)*2842.013)/1000</f>
        <v>3237.052807</v>
      </c>
      <c r="J103" s="152">
        <f>'X. táblázat'!G103*252.387/1000</f>
        <v>1293.2309879999998</v>
      </c>
      <c r="K103" s="153">
        <f t="shared" si="8"/>
        <v>35.923082999999991</v>
      </c>
      <c r="L103" s="154">
        <f t="shared" si="9"/>
        <v>89.918133527777783</v>
      </c>
      <c r="M103" s="211"/>
      <c r="N103" s="148">
        <v>36</v>
      </c>
      <c r="O103" s="148">
        <v>0</v>
      </c>
      <c r="P103" s="228">
        <f t="shared" si="7"/>
        <v>36</v>
      </c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</row>
    <row r="104" spans="1:162" s="155" customFormat="1" ht="13.5" thickBot="1" x14ac:dyDescent="0.25">
      <c r="A104" s="147" t="s">
        <v>118</v>
      </c>
      <c r="B104" s="272">
        <v>165</v>
      </c>
      <c r="C104" s="149"/>
      <c r="D104" s="150">
        <v>77</v>
      </c>
      <c r="E104" s="247">
        <v>165</v>
      </c>
      <c r="F104" s="151" t="s">
        <v>423</v>
      </c>
      <c r="G104" s="240">
        <v>22</v>
      </c>
      <c r="H104" s="316">
        <v>214</v>
      </c>
      <c r="I104" s="124">
        <f>(('X. táblázat'!F104+'X. táblázat'!E104)*2842.013)/1000</f>
        <v>6653.1524330000002</v>
      </c>
      <c r="J104" s="152">
        <f>'X. táblázat'!G104*252.387/1000</f>
        <v>2115.507834</v>
      </c>
      <c r="K104" s="153">
        <f t="shared" si="8"/>
        <v>27.474127714285714</v>
      </c>
      <c r="L104" s="154">
        <f t="shared" si="9"/>
        <v>86.404577051948053</v>
      </c>
      <c r="M104" s="212"/>
      <c r="N104" s="148">
        <v>77</v>
      </c>
      <c r="O104" s="148">
        <v>0</v>
      </c>
      <c r="P104" s="228">
        <f t="shared" si="7"/>
        <v>77</v>
      </c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</row>
    <row r="105" spans="1:162" s="155" customFormat="1" ht="13.5" thickBot="1" x14ac:dyDescent="0.25">
      <c r="A105" s="147" t="s">
        <v>119</v>
      </c>
      <c r="B105" s="272">
        <v>166</v>
      </c>
      <c r="C105" s="149"/>
      <c r="D105" s="150">
        <v>76</v>
      </c>
      <c r="E105" s="247">
        <v>166</v>
      </c>
      <c r="F105" s="151" t="s">
        <v>427</v>
      </c>
      <c r="G105" s="240">
        <v>22</v>
      </c>
      <c r="H105" s="316">
        <v>214</v>
      </c>
      <c r="I105" s="124">
        <f>(('X. táblázat'!F105+'X. táblázat'!E105)*2842.013)/1000</f>
        <v>6309.2688599999992</v>
      </c>
      <c r="J105" s="152">
        <f>'X. táblázat'!G105*252.387/1000</f>
        <v>2126.360475</v>
      </c>
      <c r="K105" s="153">
        <f t="shared" si="8"/>
        <v>27.978427302631577</v>
      </c>
      <c r="L105" s="154">
        <f t="shared" si="9"/>
        <v>83.016695526315786</v>
      </c>
      <c r="M105" s="212"/>
      <c r="N105" s="148">
        <v>76</v>
      </c>
      <c r="O105" s="148">
        <v>0</v>
      </c>
      <c r="P105" s="228">
        <v>76</v>
      </c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</row>
    <row r="106" spans="1:162" s="160" customFormat="1" ht="13.5" thickBot="1" x14ac:dyDescent="0.25">
      <c r="A106" s="156" t="s">
        <v>120</v>
      </c>
      <c r="B106" s="280">
        <v>167</v>
      </c>
      <c r="C106" s="158"/>
      <c r="D106" s="150">
        <v>75</v>
      </c>
      <c r="E106" s="278">
        <v>167</v>
      </c>
      <c r="F106" s="159" t="s">
        <v>428</v>
      </c>
      <c r="G106" s="241" t="s">
        <v>500</v>
      </c>
      <c r="H106" s="316">
        <v>214</v>
      </c>
      <c r="I106" s="124">
        <f>(('X. táblázat'!F106+'X. táblázat'!E106)*2842.013)/1000</f>
        <v>6141.5900929999998</v>
      </c>
      <c r="J106" s="152">
        <f>'X. táblázat'!G106*252.387/1000</f>
        <v>2097.8407440000001</v>
      </c>
      <c r="K106" s="153">
        <f t="shared" si="8"/>
        <v>27.97120992</v>
      </c>
      <c r="L106" s="154">
        <f t="shared" si="9"/>
        <v>81.887867906666671</v>
      </c>
      <c r="M106" s="213"/>
      <c r="N106" s="157">
        <v>75</v>
      </c>
      <c r="O106" s="157">
        <v>0</v>
      </c>
      <c r="P106" s="229">
        <f t="shared" si="7"/>
        <v>75</v>
      </c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  <c r="DD106" s="143"/>
      <c r="DE106" s="143"/>
      <c r="DF106" s="143"/>
      <c r="DG106" s="143"/>
      <c r="DH106" s="143"/>
      <c r="DI106" s="143"/>
      <c r="DJ106" s="143"/>
      <c r="DK106" s="143"/>
      <c r="DL106" s="143"/>
      <c r="DM106" s="143"/>
      <c r="DN106" s="143"/>
      <c r="DO106" s="143"/>
      <c r="DP106" s="143"/>
      <c r="DQ106" s="143"/>
      <c r="DR106" s="143"/>
      <c r="DS106" s="143"/>
      <c r="DT106" s="143"/>
      <c r="DU106" s="143"/>
      <c r="DV106" s="143"/>
      <c r="DW106" s="143"/>
      <c r="DX106" s="143"/>
      <c r="DY106" s="143"/>
      <c r="DZ106" s="143"/>
      <c r="EA106" s="143"/>
      <c r="EB106" s="143"/>
      <c r="EC106" s="143"/>
      <c r="ED106" s="143"/>
      <c r="EE106" s="143"/>
      <c r="EF106" s="143"/>
      <c r="EG106" s="143"/>
      <c r="EH106" s="143"/>
      <c r="EI106" s="143"/>
      <c r="EJ106" s="143"/>
      <c r="EK106" s="143"/>
      <c r="EL106" s="143"/>
      <c r="EM106" s="143"/>
      <c r="EN106" s="143"/>
      <c r="EO106" s="143"/>
      <c r="EP106" s="143"/>
      <c r="EQ106" s="143"/>
      <c r="ER106" s="143"/>
      <c r="ES106" s="143"/>
      <c r="ET106" s="143"/>
      <c r="EU106" s="143"/>
      <c r="EV106" s="143"/>
      <c r="EW106" s="143"/>
      <c r="EX106" s="143"/>
      <c r="EY106" s="143"/>
      <c r="EZ106" s="143"/>
      <c r="FA106" s="143"/>
      <c r="FB106" s="143"/>
      <c r="FC106" s="143"/>
      <c r="FD106" s="143"/>
      <c r="FE106" s="143"/>
      <c r="FF106" s="143"/>
    </row>
    <row r="107" spans="1:162" s="155" customFormat="1" ht="13.5" thickBot="1" x14ac:dyDescent="0.25">
      <c r="A107" s="147" t="s">
        <v>121</v>
      </c>
      <c r="B107" s="272">
        <v>168</v>
      </c>
      <c r="C107" s="149"/>
      <c r="D107" s="150">
        <v>103</v>
      </c>
      <c r="E107" s="247">
        <v>168</v>
      </c>
      <c r="F107" s="151" t="s">
        <v>429</v>
      </c>
      <c r="G107" s="240" t="s">
        <v>504</v>
      </c>
      <c r="H107" s="316">
        <v>214</v>
      </c>
      <c r="I107" s="124">
        <f>(('X. táblázat'!F107+'X. táblázat'!E107)*2842.013)/1000</f>
        <v>10805.333425999999</v>
      </c>
      <c r="J107" s="152">
        <f>'X. táblázat'!G107*252.387/1000</f>
        <v>3569.5093409999999</v>
      </c>
      <c r="K107" s="153">
        <f t="shared" si="8"/>
        <v>34.65543049514563</v>
      </c>
      <c r="L107" s="154">
        <f t="shared" si="9"/>
        <v>104.90614976699028</v>
      </c>
      <c r="M107" s="212"/>
      <c r="N107" s="148">
        <v>103</v>
      </c>
      <c r="O107" s="148">
        <v>0</v>
      </c>
      <c r="P107" s="228">
        <f t="shared" si="7"/>
        <v>103</v>
      </c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</row>
    <row r="108" spans="1:162" s="155" customFormat="1" ht="13.5" thickBot="1" x14ac:dyDescent="0.25">
      <c r="A108" s="248">
        <v>6094</v>
      </c>
      <c r="B108" s="272">
        <v>169</v>
      </c>
      <c r="C108" s="149"/>
      <c r="D108" s="150">
        <v>20</v>
      </c>
      <c r="E108" s="247">
        <v>169</v>
      </c>
      <c r="F108" s="151" t="s">
        <v>437</v>
      </c>
      <c r="G108" s="240" t="s">
        <v>506</v>
      </c>
      <c r="H108" s="316">
        <v>214</v>
      </c>
      <c r="I108" s="124">
        <f>(('X. táblázat'!F108+'X. táblázat'!E108)*2842.013)/1000</f>
        <v>1685.313709</v>
      </c>
      <c r="J108" s="152">
        <f>'X. táblázat'!G108*252.387/1000</f>
        <v>580.49009999999998</v>
      </c>
      <c r="K108" s="153">
        <f t="shared" si="8"/>
        <v>29.024504999999998</v>
      </c>
      <c r="L108" s="154">
        <f t="shared" si="9"/>
        <v>84.265685450000007</v>
      </c>
      <c r="M108" s="212"/>
      <c r="N108" s="148">
        <v>20</v>
      </c>
      <c r="O108" s="148">
        <v>0</v>
      </c>
      <c r="P108" s="228">
        <v>20</v>
      </c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</row>
    <row r="109" spans="1:162" s="155" customFormat="1" ht="13.5" thickBot="1" x14ac:dyDescent="0.25">
      <c r="A109" s="147" t="s">
        <v>122</v>
      </c>
      <c r="B109" s="272">
        <v>171</v>
      </c>
      <c r="C109" s="149"/>
      <c r="D109" s="150">
        <v>20</v>
      </c>
      <c r="E109" s="247">
        <v>171</v>
      </c>
      <c r="F109" s="151" t="s">
        <v>430</v>
      </c>
      <c r="G109" s="240">
        <v>21</v>
      </c>
      <c r="H109" s="316">
        <v>214</v>
      </c>
      <c r="I109" s="124">
        <f>(('X. táblázat'!F109+'X. táblázat'!E109)*2842.013)/1000</f>
        <v>1995.093126</v>
      </c>
      <c r="J109" s="152">
        <f>'X. táblázat'!G109*252.387/1000</f>
        <v>565.34688000000006</v>
      </c>
      <c r="K109" s="153">
        <f t="shared" si="8"/>
        <v>28.267344000000001</v>
      </c>
      <c r="L109" s="154">
        <f t="shared" si="9"/>
        <v>99.754656299999994</v>
      </c>
      <c r="M109" s="211"/>
      <c r="N109" s="148">
        <v>20</v>
      </c>
      <c r="O109" s="148">
        <v>0</v>
      </c>
      <c r="P109" s="228">
        <f t="shared" si="7"/>
        <v>20</v>
      </c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</row>
    <row r="110" spans="1:162" s="155" customFormat="1" ht="13.5" thickBot="1" x14ac:dyDescent="0.25">
      <c r="A110" s="147" t="s">
        <v>123</v>
      </c>
      <c r="B110" s="272">
        <v>172</v>
      </c>
      <c r="C110" s="149"/>
      <c r="D110" s="150">
        <v>20</v>
      </c>
      <c r="E110" s="247">
        <v>172</v>
      </c>
      <c r="F110" s="151" t="s">
        <v>431</v>
      </c>
      <c r="G110" s="240">
        <v>21</v>
      </c>
      <c r="H110" s="316">
        <v>214</v>
      </c>
      <c r="I110" s="124">
        <f>(('X. táblázat'!F110+'X. táblázat'!E110)*2842.013)/1000</f>
        <v>1568.791176</v>
      </c>
      <c r="J110" s="152">
        <f>'X. táblázat'!G110*252.387/1000</f>
        <v>565.34688000000006</v>
      </c>
      <c r="K110" s="153">
        <f t="shared" si="8"/>
        <v>28.267344000000001</v>
      </c>
      <c r="L110" s="154">
        <f t="shared" si="9"/>
        <v>78.4395588</v>
      </c>
      <c r="M110" s="211"/>
      <c r="N110" s="148">
        <v>20</v>
      </c>
      <c r="O110" s="148">
        <v>0</v>
      </c>
      <c r="P110" s="228">
        <f t="shared" si="7"/>
        <v>20</v>
      </c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</row>
    <row r="111" spans="1:162" s="155" customFormat="1" ht="13.5" thickBot="1" x14ac:dyDescent="0.25">
      <c r="A111" s="147" t="s">
        <v>124</v>
      </c>
      <c r="B111" s="272">
        <v>188</v>
      </c>
      <c r="C111" s="149"/>
      <c r="D111" s="150">
        <v>17</v>
      </c>
      <c r="E111" s="247">
        <v>188</v>
      </c>
      <c r="F111" s="151" t="s">
        <v>432</v>
      </c>
      <c r="G111" s="240">
        <v>21</v>
      </c>
      <c r="H111" s="316">
        <v>214</v>
      </c>
      <c r="I111" s="124">
        <f>(('X. táblázat'!F111+'X. táblázat'!E111)*2842.013)/1000</f>
        <v>881.02403000000004</v>
      </c>
      <c r="J111" s="152">
        <f>'X. táblázat'!G111*252.387/1000</f>
        <v>490.13555400000001</v>
      </c>
      <c r="K111" s="153">
        <f t="shared" si="8"/>
        <v>28.831503176470591</v>
      </c>
      <c r="L111" s="154">
        <f t="shared" si="9"/>
        <v>51.824942941176474</v>
      </c>
      <c r="M111" s="214"/>
      <c r="N111" s="148">
        <v>17</v>
      </c>
      <c r="O111" s="148">
        <v>0</v>
      </c>
      <c r="P111" s="228">
        <f t="shared" si="7"/>
        <v>17</v>
      </c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</row>
    <row r="112" spans="1:162" s="155" customFormat="1" ht="13.5" thickBot="1" x14ac:dyDescent="0.25">
      <c r="A112" s="147" t="s">
        <v>125</v>
      </c>
      <c r="B112" s="272">
        <v>189</v>
      </c>
      <c r="C112" s="149"/>
      <c r="D112" s="150">
        <v>17</v>
      </c>
      <c r="E112" s="247">
        <v>189</v>
      </c>
      <c r="F112" s="151" t="s">
        <v>433</v>
      </c>
      <c r="G112" s="240">
        <v>23</v>
      </c>
      <c r="H112" s="316">
        <v>214</v>
      </c>
      <c r="I112" s="124">
        <f>(('X. táblázat'!F112+'X. táblázat'!E112)*2842.013)/1000</f>
        <v>787.23760100000004</v>
      </c>
      <c r="J112" s="152">
        <f>'X. táblázat'!G112*252.387/1000</f>
        <v>475.74949499999997</v>
      </c>
      <c r="K112" s="153">
        <f t="shared" si="8"/>
        <v>27.985264411764703</v>
      </c>
      <c r="L112" s="154">
        <f t="shared" si="9"/>
        <v>46.30809417647059</v>
      </c>
      <c r="M112" s="211"/>
      <c r="N112" s="148">
        <v>17</v>
      </c>
      <c r="O112" s="148">
        <v>0</v>
      </c>
      <c r="P112" s="228">
        <f t="shared" si="7"/>
        <v>17</v>
      </c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</row>
    <row r="113" spans="1:162" s="155" customFormat="1" ht="13.5" thickBot="1" x14ac:dyDescent="0.25">
      <c r="A113" s="147" t="s">
        <v>126</v>
      </c>
      <c r="B113" s="272">
        <v>191</v>
      </c>
      <c r="C113" s="149"/>
      <c r="D113" s="161">
        <v>17</v>
      </c>
      <c r="E113" s="247">
        <v>191</v>
      </c>
      <c r="F113" s="151" t="s">
        <v>434</v>
      </c>
      <c r="G113" s="240">
        <v>22</v>
      </c>
      <c r="H113" s="316">
        <v>214</v>
      </c>
      <c r="I113" s="124">
        <f>(('X. táblázat'!F113+'X. táblázat'!E113)*2842.013)/1000</f>
        <v>1662.5776049999999</v>
      </c>
      <c r="J113" s="152">
        <f>'X. táblázat'!G113*252.387/1000</f>
        <v>487.61168400000003</v>
      </c>
      <c r="K113" s="153">
        <f t="shared" si="8"/>
        <v>28.683040235294119</v>
      </c>
      <c r="L113" s="154">
        <f t="shared" si="9"/>
        <v>97.798682647058826</v>
      </c>
      <c r="M113" s="214"/>
      <c r="N113" s="148">
        <v>17</v>
      </c>
      <c r="O113" s="148">
        <v>0</v>
      </c>
      <c r="P113" s="228">
        <f t="shared" si="7"/>
        <v>17</v>
      </c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</row>
    <row r="114" spans="1:162" s="155" customFormat="1" ht="13.5" thickBot="1" x14ac:dyDescent="0.25">
      <c r="A114" s="147" t="s">
        <v>127</v>
      </c>
      <c r="B114" s="272">
        <v>192</v>
      </c>
      <c r="C114" s="149"/>
      <c r="D114" s="150">
        <v>17</v>
      </c>
      <c r="E114" s="247">
        <v>192</v>
      </c>
      <c r="F114" s="151" t="s">
        <v>435</v>
      </c>
      <c r="G114" s="240">
        <v>22</v>
      </c>
      <c r="H114" s="316">
        <v>214</v>
      </c>
      <c r="I114" s="124">
        <f>(('X. táblázat'!F114+'X. táblázat'!E114)*2842.013)/1000</f>
        <v>1710.8918259999998</v>
      </c>
      <c r="J114" s="152">
        <f>'X. táblázat'!G114*252.387/1000</f>
        <v>475.74949499999997</v>
      </c>
      <c r="K114" s="153">
        <f t="shared" si="8"/>
        <v>27.985264411764703</v>
      </c>
      <c r="L114" s="154">
        <f t="shared" si="9"/>
        <v>100.64069564705881</v>
      </c>
      <c r="M114" s="211"/>
      <c r="N114" s="148">
        <v>17</v>
      </c>
      <c r="O114" s="148">
        <v>0</v>
      </c>
      <c r="P114" s="228">
        <f t="shared" si="7"/>
        <v>17</v>
      </c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</row>
    <row r="115" spans="1:162" s="155" customFormat="1" ht="13.5" thickBot="1" x14ac:dyDescent="0.25">
      <c r="A115" s="147" t="s">
        <v>128</v>
      </c>
      <c r="B115" s="272">
        <v>193</v>
      </c>
      <c r="C115" s="149"/>
      <c r="D115" s="150">
        <v>17</v>
      </c>
      <c r="E115" s="247">
        <v>193</v>
      </c>
      <c r="F115" s="151" t="s">
        <v>436</v>
      </c>
      <c r="G115" s="240">
        <v>21</v>
      </c>
      <c r="H115" s="316">
        <v>214</v>
      </c>
      <c r="I115" s="124">
        <f>(('X. táblázat'!F115+'X. táblázat'!E115)*2842.013)/1000</f>
        <v>1756.3640339999999</v>
      </c>
      <c r="J115" s="152">
        <f>'X. táblázat'!G115*252.387/1000</f>
        <v>487.61168400000003</v>
      </c>
      <c r="K115" s="153">
        <f t="shared" si="8"/>
        <v>28.683040235294119</v>
      </c>
      <c r="L115" s="154">
        <f t="shared" si="9"/>
        <v>103.31553141176471</v>
      </c>
      <c r="M115" s="214"/>
      <c r="N115" s="148">
        <v>17</v>
      </c>
      <c r="O115" s="148">
        <v>0</v>
      </c>
      <c r="P115" s="228">
        <f t="shared" si="7"/>
        <v>17</v>
      </c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</row>
    <row r="116" spans="1:162" s="155" customFormat="1" ht="13.5" thickBot="1" x14ac:dyDescent="0.25">
      <c r="A116" s="147" t="s">
        <v>146</v>
      </c>
      <c r="B116" s="272">
        <v>146</v>
      </c>
      <c r="C116" s="149"/>
      <c r="D116" s="150">
        <v>40</v>
      </c>
      <c r="E116" s="247">
        <v>146</v>
      </c>
      <c r="F116" s="151" t="s">
        <v>438</v>
      </c>
      <c r="G116" s="239">
        <v>22</v>
      </c>
      <c r="H116" s="316">
        <v>214</v>
      </c>
      <c r="I116" s="124">
        <f>(('X. táblázat'!F116+'X. táblázat'!E116)*2842.013)/1000</f>
        <v>1153.857278</v>
      </c>
      <c r="J116" s="152">
        <f>'X. táblázat'!G116*252.387/1000</f>
        <v>955.28479500000003</v>
      </c>
      <c r="K116" s="153">
        <f t="shared" si="8"/>
        <v>23.882119875000001</v>
      </c>
      <c r="L116" s="154">
        <f t="shared" si="9"/>
        <v>28.846431949999999</v>
      </c>
      <c r="M116" s="211"/>
      <c r="N116" s="148">
        <v>40</v>
      </c>
      <c r="O116" s="148">
        <v>0</v>
      </c>
      <c r="P116" s="228">
        <f t="shared" si="7"/>
        <v>40</v>
      </c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</row>
    <row r="117" spans="1:162" s="155" customFormat="1" ht="13.5" thickBot="1" x14ac:dyDescent="0.25">
      <c r="A117" s="147" t="s">
        <v>158</v>
      </c>
      <c r="B117" s="272">
        <v>155</v>
      </c>
      <c r="C117" s="149"/>
      <c r="D117" s="150">
        <v>46</v>
      </c>
      <c r="E117" s="247">
        <v>155</v>
      </c>
      <c r="F117" s="151" t="s">
        <v>438</v>
      </c>
      <c r="G117" s="240">
        <v>21</v>
      </c>
      <c r="H117" s="316">
        <v>214</v>
      </c>
      <c r="I117" s="124">
        <f>(('X. táblázat'!F117+'X. táblázat'!E117)*2842.013)/1000</f>
        <v>4186.2851489999994</v>
      </c>
      <c r="J117" s="152">
        <f>'X. táblázat'!G117*252.387/1000</f>
        <v>1609.9766729999999</v>
      </c>
      <c r="K117" s="153">
        <f t="shared" si="8"/>
        <v>34.999492891304342</v>
      </c>
      <c r="L117" s="154">
        <f t="shared" si="9"/>
        <v>91.006198891304336</v>
      </c>
      <c r="M117" s="214"/>
      <c r="N117" s="148">
        <v>46</v>
      </c>
      <c r="O117" s="148">
        <v>0</v>
      </c>
      <c r="P117" s="228">
        <f t="shared" si="7"/>
        <v>46</v>
      </c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</row>
    <row r="118" spans="1:162" s="155" customFormat="1" ht="13.5" thickBot="1" x14ac:dyDescent="0.25">
      <c r="A118" s="147" t="s">
        <v>188</v>
      </c>
      <c r="B118" s="272">
        <v>151</v>
      </c>
      <c r="C118" s="149"/>
      <c r="D118" s="150">
        <v>48</v>
      </c>
      <c r="E118" s="247">
        <v>151</v>
      </c>
      <c r="F118" s="151" t="s">
        <v>420</v>
      </c>
      <c r="G118" s="240">
        <v>21</v>
      </c>
      <c r="H118" s="316">
        <v>214</v>
      </c>
      <c r="I118" s="124">
        <f>(('X. táblázat'!F118+'X. táblázat'!E118)*2842.013)/1000</f>
        <v>4024.2904079999998</v>
      </c>
      <c r="J118" s="152">
        <f>'X. táblázat'!G118*252.387/1000</f>
        <v>1698.0597359999999</v>
      </c>
      <c r="K118" s="153">
        <f t="shared" si="8"/>
        <v>35.376244499999999</v>
      </c>
      <c r="L118" s="154">
        <f t="shared" si="9"/>
        <v>83.839383499999997</v>
      </c>
      <c r="M118" s="211"/>
      <c r="N118" s="148">
        <v>48</v>
      </c>
      <c r="O118" s="148">
        <v>0</v>
      </c>
      <c r="P118" s="228">
        <f t="shared" si="7"/>
        <v>48</v>
      </c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</row>
    <row r="119" spans="1:162" s="155" customFormat="1" ht="13.5" thickBot="1" x14ac:dyDescent="0.25">
      <c r="A119" s="147" t="s">
        <v>189</v>
      </c>
      <c r="B119" s="272">
        <v>148</v>
      </c>
      <c r="C119" s="149"/>
      <c r="D119" s="150">
        <v>48</v>
      </c>
      <c r="E119" s="247">
        <v>148</v>
      </c>
      <c r="F119" s="151" t="s">
        <v>439</v>
      </c>
      <c r="G119" s="239" t="s">
        <v>501</v>
      </c>
      <c r="H119" s="316">
        <v>214</v>
      </c>
      <c r="I119" s="124">
        <f>(('X. táblázat'!F119+'X. táblázat'!E119)*2842.013)/1000</f>
        <v>3964.6081349999999</v>
      </c>
      <c r="J119" s="152">
        <f>'X. táblázat'!G119*252.387/1000</f>
        <v>1342.446453</v>
      </c>
      <c r="K119" s="153">
        <f t="shared" si="8"/>
        <v>27.967634437499999</v>
      </c>
      <c r="L119" s="154">
        <f t="shared" si="9"/>
        <v>82.596002812500004</v>
      </c>
      <c r="M119" s="211"/>
      <c r="N119" s="148">
        <v>48</v>
      </c>
      <c r="O119" s="148">
        <v>0</v>
      </c>
      <c r="P119" s="228">
        <f t="shared" si="7"/>
        <v>48</v>
      </c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</row>
    <row r="120" spans="1:162" s="155" customFormat="1" ht="13.5" thickBot="1" x14ac:dyDescent="0.25">
      <c r="A120" s="147" t="s">
        <v>190</v>
      </c>
      <c r="B120" s="272">
        <v>147</v>
      </c>
      <c r="C120" s="149"/>
      <c r="D120" s="150">
        <v>47</v>
      </c>
      <c r="E120" s="247">
        <v>147</v>
      </c>
      <c r="F120" s="151" t="s">
        <v>440</v>
      </c>
      <c r="G120" s="240">
        <v>22</v>
      </c>
      <c r="H120" s="316">
        <v>214</v>
      </c>
      <c r="I120" s="124">
        <f>(('X. táblázat'!F120+'X. táblázat'!E120)*2842.013)/1000</f>
        <v>3941.8720309999999</v>
      </c>
      <c r="J120" s="152">
        <f>'X. táblázat'!G120*252.387/1000</f>
        <v>1342.446453</v>
      </c>
      <c r="K120" s="153">
        <f t="shared" si="8"/>
        <v>28.562690489361703</v>
      </c>
      <c r="L120" s="154">
        <f t="shared" si="9"/>
        <v>83.869617680851064</v>
      </c>
      <c r="M120" s="214">
        <v>1</v>
      </c>
      <c r="N120" s="148">
        <v>47</v>
      </c>
      <c r="O120" s="148">
        <v>0</v>
      </c>
      <c r="P120" s="228">
        <f t="shared" si="7"/>
        <v>47</v>
      </c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</row>
    <row r="121" spans="1:162" s="155" customFormat="1" ht="13.5" thickBot="1" x14ac:dyDescent="0.25">
      <c r="A121" s="147" t="s">
        <v>191</v>
      </c>
      <c r="B121" s="272">
        <v>137</v>
      </c>
      <c r="C121" s="149"/>
      <c r="D121" s="150">
        <v>48</v>
      </c>
      <c r="E121" s="247">
        <v>137</v>
      </c>
      <c r="F121" s="151" t="s">
        <v>441</v>
      </c>
      <c r="G121" s="240">
        <v>21</v>
      </c>
      <c r="H121" s="316">
        <v>214</v>
      </c>
      <c r="I121" s="124">
        <f>(('X. táblázat'!F121+'X. táblázat'!E121)*2842.013)/1000</f>
        <v>4308.4917079999996</v>
      </c>
      <c r="J121" s="152">
        <f>'X. táblázat'!G121*252.387/1000</f>
        <v>1364.9088959999999</v>
      </c>
      <c r="K121" s="153">
        <f t="shared" si="8"/>
        <v>28.435601999999999</v>
      </c>
      <c r="L121" s="154">
        <f t="shared" si="9"/>
        <v>89.760243916666653</v>
      </c>
      <c r="M121" s="211"/>
      <c r="N121" s="148">
        <v>48</v>
      </c>
      <c r="O121" s="148">
        <v>0</v>
      </c>
      <c r="P121" s="228">
        <f t="shared" si="7"/>
        <v>48</v>
      </c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</row>
    <row r="122" spans="1:162" s="155" customFormat="1" ht="13.5" thickBot="1" x14ac:dyDescent="0.25">
      <c r="A122" s="147" t="s">
        <v>192</v>
      </c>
      <c r="B122" s="272" t="s">
        <v>486</v>
      </c>
      <c r="C122" s="149"/>
      <c r="D122" s="150">
        <v>48</v>
      </c>
      <c r="E122" s="273" t="s">
        <v>486</v>
      </c>
      <c r="F122" s="151" t="s">
        <v>442</v>
      </c>
      <c r="G122" s="240">
        <v>21</v>
      </c>
      <c r="H122" s="316">
        <v>214</v>
      </c>
      <c r="I122" s="124">
        <f>(('X. táblázat'!F122+'X. táblázat'!E122)*2842.013)/1000</f>
        <v>4331.2278120000001</v>
      </c>
      <c r="J122" s="152">
        <f>'X. táblázat'!G122*252.387/1000</f>
        <v>1372.7328929999999</v>
      </c>
      <c r="K122" s="153">
        <f t="shared" si="8"/>
        <v>28.598601937499996</v>
      </c>
      <c r="L122" s="154">
        <f t="shared" si="9"/>
        <v>90.233912750000002</v>
      </c>
      <c r="M122" s="211"/>
      <c r="N122" s="148">
        <v>48</v>
      </c>
      <c r="O122" s="148">
        <v>0</v>
      </c>
      <c r="P122" s="228">
        <f t="shared" si="7"/>
        <v>48</v>
      </c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</row>
    <row r="123" spans="1:162" ht="13.5" thickBot="1" x14ac:dyDescent="0.25">
      <c r="A123" s="162" t="s">
        <v>193</v>
      </c>
      <c r="B123" s="281">
        <v>149</v>
      </c>
      <c r="C123" s="122"/>
      <c r="D123" s="164">
        <v>48</v>
      </c>
      <c r="E123" s="276">
        <v>149</v>
      </c>
      <c r="F123" s="121" t="s">
        <v>443</v>
      </c>
      <c r="G123" s="266" t="s">
        <v>500</v>
      </c>
      <c r="H123" s="316">
        <v>214</v>
      </c>
      <c r="I123" s="124">
        <f>(('X. táblázat'!F123+'X. táblázat'!E123)*2842.013)/1000</f>
        <v>3879.347745</v>
      </c>
      <c r="J123" s="152">
        <f>'X. táblázat'!G123*252.387/1000</f>
        <v>1372.7328929999999</v>
      </c>
      <c r="K123" s="167">
        <f t="shared" si="8"/>
        <v>28.598601937499996</v>
      </c>
      <c r="L123" s="166">
        <f t="shared" si="9"/>
        <v>80.819744687500005</v>
      </c>
      <c r="M123" s="215"/>
      <c r="N123" s="163">
        <v>48</v>
      </c>
      <c r="O123" s="163">
        <v>0</v>
      </c>
      <c r="P123" s="230">
        <f t="shared" si="7"/>
        <v>48</v>
      </c>
    </row>
    <row r="124" spans="1:162" s="138" customFormat="1" x14ac:dyDescent="0.2">
      <c r="A124" s="486">
        <v>6046</v>
      </c>
      <c r="B124" s="466" t="s">
        <v>202</v>
      </c>
      <c r="C124" s="468">
        <v>20</v>
      </c>
      <c r="D124" s="142">
        <v>29</v>
      </c>
      <c r="E124" s="277" t="s">
        <v>202</v>
      </c>
      <c r="F124" s="123" t="s">
        <v>444</v>
      </c>
      <c r="G124" s="234">
        <v>21</v>
      </c>
      <c r="H124" s="316">
        <v>214</v>
      </c>
      <c r="I124" s="124">
        <f>(('X. táblázat'!F124+'X. táblázat'!E124)*2842.013)/1000</f>
        <v>3475.7818989999996</v>
      </c>
      <c r="J124" s="130">
        <f>'X. táblázat'!G124*252.387/1000</f>
        <v>1342.446453</v>
      </c>
      <c r="K124" s="136">
        <f t="shared" si="8"/>
        <v>46.291257000000002</v>
      </c>
      <c r="L124" s="137">
        <f t="shared" si="9"/>
        <v>119.85454824137929</v>
      </c>
      <c r="M124" s="216"/>
      <c r="N124" s="37">
        <v>29</v>
      </c>
      <c r="O124" s="37">
        <v>0</v>
      </c>
      <c r="P124" s="224">
        <f t="shared" si="7"/>
        <v>29</v>
      </c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</row>
    <row r="125" spans="1:162" s="134" customFormat="1" ht="13.5" thickBot="1" x14ac:dyDescent="0.25">
      <c r="A125" s="487"/>
      <c r="B125" s="472"/>
      <c r="C125" s="474"/>
      <c r="D125" s="141">
        <v>54</v>
      </c>
      <c r="E125" s="27" t="s">
        <v>206</v>
      </c>
      <c r="F125" s="27" t="s">
        <v>411</v>
      </c>
      <c r="G125" s="235" t="s">
        <v>500</v>
      </c>
      <c r="H125" s="220">
        <v>214</v>
      </c>
      <c r="I125" s="28">
        <f>(('X. táblázat'!F125+'X. táblázat'!E125)*2842.013)/1000</f>
        <v>3947.5560570000002</v>
      </c>
      <c r="J125" s="28">
        <f>'X. táblázat'!G125*252.387/1000</f>
        <v>960.33253500000001</v>
      </c>
      <c r="K125" s="88">
        <f t="shared" si="8"/>
        <v>17.783935833333334</v>
      </c>
      <c r="L125" s="133">
        <f t="shared" si="9"/>
        <v>73.102889944444442</v>
      </c>
      <c r="M125" s="200"/>
      <c r="N125" s="29">
        <v>54</v>
      </c>
      <c r="O125" s="29">
        <v>0</v>
      </c>
      <c r="P125" s="226">
        <f t="shared" si="7"/>
        <v>54</v>
      </c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</row>
    <row r="126" spans="1:162" s="138" customFormat="1" x14ac:dyDescent="0.2">
      <c r="A126" s="486">
        <v>6047</v>
      </c>
      <c r="B126" s="466" t="s">
        <v>203</v>
      </c>
      <c r="C126" s="468">
        <v>22</v>
      </c>
      <c r="D126" s="142">
        <v>29</v>
      </c>
      <c r="E126" s="123" t="s">
        <v>203</v>
      </c>
      <c r="F126" s="123" t="s">
        <v>412</v>
      </c>
      <c r="G126" s="237" t="s">
        <v>507</v>
      </c>
      <c r="H126" s="316">
        <v>214</v>
      </c>
      <c r="I126" s="124">
        <f>(('X. táblázat'!F126+'X. táblázat'!E126)*2842.013)/1000</f>
        <v>2481.0773490000001</v>
      </c>
      <c r="J126" s="309">
        <f>'X. táblázat'!G126*252.387/1000</f>
        <v>2042.3156040000001</v>
      </c>
      <c r="K126" s="136">
        <f t="shared" si="8"/>
        <v>70.424676000000005</v>
      </c>
      <c r="L126" s="137">
        <f t="shared" si="9"/>
        <v>85.554391344827593</v>
      </c>
      <c r="M126" s="216"/>
      <c r="N126" s="37">
        <v>29</v>
      </c>
      <c r="O126" s="37">
        <v>0</v>
      </c>
      <c r="P126" s="224">
        <f t="shared" si="7"/>
        <v>29</v>
      </c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</row>
    <row r="127" spans="1:162" s="134" customFormat="1" ht="13.5" thickBot="1" x14ac:dyDescent="0.25">
      <c r="A127" s="487"/>
      <c r="B127" s="472"/>
      <c r="C127" s="474"/>
      <c r="D127" s="141">
        <v>54</v>
      </c>
      <c r="E127" s="27" t="s">
        <v>208</v>
      </c>
      <c r="F127" s="27" t="s">
        <v>413</v>
      </c>
      <c r="G127" s="235">
        <v>21</v>
      </c>
      <c r="H127" s="220">
        <v>214</v>
      </c>
      <c r="I127" s="28">
        <f>(('X. táblázat'!F127+'X. táblázat'!E127)*2842.013)/1000</f>
        <v>3356.4173530000003</v>
      </c>
      <c r="J127" s="170">
        <f>'X. táblázat'!G127*252.387/1000</f>
        <v>950.23705500000005</v>
      </c>
      <c r="K127" s="88">
        <f t="shared" si="8"/>
        <v>17.596982499999999</v>
      </c>
      <c r="L127" s="133">
        <f t="shared" si="9"/>
        <v>62.155876907407411</v>
      </c>
      <c r="M127" s="200"/>
      <c r="N127" s="29">
        <v>54</v>
      </c>
      <c r="O127" s="29">
        <v>0</v>
      </c>
      <c r="P127" s="226">
        <f t="shared" si="7"/>
        <v>54</v>
      </c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</row>
    <row r="128" spans="1:162" s="138" customFormat="1" x14ac:dyDescent="0.2">
      <c r="A128" s="486">
        <v>6048</v>
      </c>
      <c r="B128" s="466" t="s">
        <v>205</v>
      </c>
      <c r="C128" s="468">
        <v>22</v>
      </c>
      <c r="D128" s="142">
        <v>27</v>
      </c>
      <c r="E128" s="123" t="s">
        <v>204</v>
      </c>
      <c r="F128" s="123" t="s">
        <v>414</v>
      </c>
      <c r="G128" s="237" t="s">
        <v>507</v>
      </c>
      <c r="H128" s="316">
        <v>214</v>
      </c>
      <c r="I128" s="124">
        <f>(('X. táblázat'!F128+'X. táblázat'!E128)*2842.013)/1000</f>
        <v>6030.7515860000003</v>
      </c>
      <c r="J128" s="130">
        <f>'X. táblázat'!G128*252.387/1000</f>
        <v>2000.9241359999999</v>
      </c>
      <c r="K128" s="136">
        <f t="shared" si="8"/>
        <v>74.10830133333333</v>
      </c>
      <c r="L128" s="137">
        <f t="shared" si="9"/>
        <v>223.36116985185186</v>
      </c>
      <c r="M128" s="216">
        <v>2</v>
      </c>
      <c r="N128" s="37">
        <v>29</v>
      </c>
      <c r="O128" s="37">
        <v>0</v>
      </c>
      <c r="P128" s="224">
        <f t="shared" si="7"/>
        <v>29</v>
      </c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</row>
    <row r="129" spans="1:162" s="33" customFormat="1" x14ac:dyDescent="0.2">
      <c r="A129" s="463"/>
      <c r="B129" s="445"/>
      <c r="C129" s="473"/>
      <c r="D129" s="128">
        <v>29</v>
      </c>
      <c r="E129" s="21" t="s">
        <v>205</v>
      </c>
      <c r="F129" s="21" t="s">
        <v>415</v>
      </c>
      <c r="G129" s="236" t="s">
        <v>508</v>
      </c>
      <c r="H129" s="194">
        <v>214</v>
      </c>
      <c r="I129" s="22">
        <f>(('X. táblázat'!F129+'X. táblázat'!E129)*2842.013)/1000</f>
        <v>4427.8846741300003</v>
      </c>
      <c r="J129" s="22">
        <f>'X. táblázat'!G129*252.387/1000</f>
        <v>949.22750699999995</v>
      </c>
      <c r="K129" s="83">
        <f t="shared" si="8"/>
        <v>32.731983</v>
      </c>
      <c r="L129" s="38">
        <f t="shared" si="9"/>
        <v>152.68567841827587</v>
      </c>
      <c r="M129" s="199"/>
      <c r="N129" s="26">
        <v>29</v>
      </c>
      <c r="O129" s="26">
        <v>0</v>
      </c>
      <c r="P129" s="225">
        <f t="shared" si="7"/>
        <v>29</v>
      </c>
    </row>
    <row r="130" spans="1:162" s="134" customFormat="1" ht="13.5" thickBot="1" x14ac:dyDescent="0.25">
      <c r="A130" s="492"/>
      <c r="B130" s="493"/>
      <c r="C130" s="494"/>
      <c r="D130" s="265">
        <v>53</v>
      </c>
      <c r="E130" s="121" t="s">
        <v>207</v>
      </c>
      <c r="F130" s="121" t="s">
        <v>416</v>
      </c>
      <c r="G130" s="266" t="s">
        <v>501</v>
      </c>
      <c r="H130" s="370">
        <v>214</v>
      </c>
      <c r="I130" s="165">
        <f>(('X. táblázat'!F130+'X. táblázat'!E130)*2842.013)/1000</f>
        <v>1793.4807237799998</v>
      </c>
      <c r="J130" s="28">
        <f>'X. táblázat'!G130*252.387/1000</f>
        <v>949.22750699999995</v>
      </c>
      <c r="K130" s="167">
        <f t="shared" si="8"/>
        <v>17.90995296226415</v>
      </c>
      <c r="L130" s="267">
        <f t="shared" si="9"/>
        <v>33.839258939245283</v>
      </c>
      <c r="M130" s="268">
        <v>1</v>
      </c>
      <c r="N130" s="269">
        <v>54</v>
      </c>
      <c r="O130" s="270">
        <v>0</v>
      </c>
      <c r="P130" s="271">
        <f t="shared" si="7"/>
        <v>54</v>
      </c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</row>
    <row r="131" spans="1:162" s="33" customFormat="1" ht="13.5" thickBot="1" x14ac:dyDescent="0.25">
      <c r="A131" s="248">
        <v>6069</v>
      </c>
      <c r="B131" s="272">
        <v>145</v>
      </c>
      <c r="C131" s="275">
        <v>24</v>
      </c>
      <c r="D131" s="274">
        <v>22</v>
      </c>
      <c r="E131" s="247">
        <v>145</v>
      </c>
      <c r="F131" s="247" t="s">
        <v>483</v>
      </c>
      <c r="G131" s="240">
        <v>23</v>
      </c>
      <c r="H131" s="316">
        <v>214</v>
      </c>
      <c r="I131" s="124">
        <f>(('X. táblázat'!F131+'X. táblázat'!E131)*2842.013)/1000</f>
        <v>5416.6778370899992</v>
      </c>
      <c r="J131" s="165">
        <f>'X. táblázat'!G131*252.387/1000</f>
        <v>1887.0975989999999</v>
      </c>
      <c r="K131" s="153">
        <f t="shared" si="8"/>
        <v>85.777163590909083</v>
      </c>
      <c r="L131" s="154">
        <f t="shared" si="9"/>
        <v>246.21262895863632</v>
      </c>
      <c r="M131" s="211"/>
      <c r="N131" s="148">
        <v>23</v>
      </c>
      <c r="O131" s="148">
        <v>0</v>
      </c>
      <c r="P131" s="271">
        <f t="shared" si="7"/>
        <v>23</v>
      </c>
    </row>
    <row r="132" spans="1:162" ht="13.5" thickBot="1" x14ac:dyDescent="0.25">
      <c r="A132" s="248">
        <v>6103</v>
      </c>
      <c r="B132" s="337" t="s">
        <v>493</v>
      </c>
      <c r="C132" s="338">
        <v>21</v>
      </c>
      <c r="D132" s="339">
        <v>45</v>
      </c>
      <c r="E132" s="340" t="s">
        <v>493</v>
      </c>
      <c r="F132" s="340" t="s">
        <v>492</v>
      </c>
      <c r="G132" s="231">
        <v>21</v>
      </c>
      <c r="H132" s="316">
        <v>214</v>
      </c>
      <c r="I132" s="124">
        <f>(('X. táblázat'!F132+'X. táblázat'!E132)*2842.013)/1000</f>
        <v>3094.9521570000002</v>
      </c>
      <c r="J132" s="124">
        <f>'X. táblázat'!G132*252.387/1000</f>
        <v>1808.1004680000001</v>
      </c>
      <c r="K132" s="125">
        <f t="shared" si="8"/>
        <v>40.1800104</v>
      </c>
      <c r="L132" s="341">
        <f t="shared" si="9"/>
        <v>68.776714600000005</v>
      </c>
      <c r="M132" s="342"/>
      <c r="N132" s="343">
        <v>45</v>
      </c>
      <c r="O132" s="343">
        <v>0</v>
      </c>
      <c r="P132" s="344">
        <v>45</v>
      </c>
    </row>
    <row r="133" spans="1:162" x14ac:dyDescent="0.2">
      <c r="A133" s="327"/>
      <c r="B133" s="372" t="s">
        <v>511</v>
      </c>
      <c r="C133" s="371"/>
      <c r="D133" s="373">
        <v>24</v>
      </c>
      <c r="E133" s="374"/>
      <c r="F133" s="375" t="s">
        <v>514</v>
      </c>
      <c r="G133" s="329"/>
      <c r="H133" s="317">
        <v>214</v>
      </c>
      <c r="I133" s="22">
        <f>(('X. táblázat'!F133+'X. táblázat'!E133)*2842.013)/1000</f>
        <v>494.51026200000001</v>
      </c>
      <c r="J133" s="22">
        <f>'X. táblázat'!G133*252.387/1000</f>
        <v>1024.9436069999999</v>
      </c>
      <c r="K133" s="83">
        <f t="shared" si="8"/>
        <v>42.705983624999995</v>
      </c>
      <c r="L133" s="38">
        <f t="shared" si="9"/>
        <v>20.604594250000002</v>
      </c>
      <c r="M133" s="376">
        <v>1</v>
      </c>
      <c r="N133" s="269">
        <v>25</v>
      </c>
      <c r="O133" s="269">
        <v>0</v>
      </c>
      <c r="P133" s="377">
        <v>25</v>
      </c>
    </row>
    <row r="134" spans="1:162" ht="13.5" thickBot="1" x14ac:dyDescent="0.25">
      <c r="A134" s="378"/>
      <c r="B134" s="378" t="s">
        <v>515</v>
      </c>
      <c r="C134" s="378"/>
      <c r="D134" s="379">
        <v>31</v>
      </c>
      <c r="E134" s="378"/>
      <c r="F134" s="378" t="s">
        <v>516</v>
      </c>
      <c r="G134" s="198"/>
      <c r="H134" s="220">
        <v>214</v>
      </c>
      <c r="I134" s="165">
        <f>(('X. táblázat'!F135+'X. táblázat'!E135)*2842.013)/1000</f>
        <v>662.189029</v>
      </c>
      <c r="J134" s="165">
        <f>'X. táblázat'!G135*252.387/1000</f>
        <v>1224.3293370000001</v>
      </c>
      <c r="K134" s="167">
        <f t="shared" si="8"/>
        <v>39.49449474193549</v>
      </c>
      <c r="L134" s="166">
        <f t="shared" si="9"/>
        <v>21.360936419354839</v>
      </c>
      <c r="M134" s="198"/>
      <c r="N134" s="198">
        <v>31</v>
      </c>
      <c r="O134" s="198">
        <v>0</v>
      </c>
      <c r="P134" s="380">
        <v>31</v>
      </c>
    </row>
  </sheetData>
  <mergeCells count="92">
    <mergeCell ref="A1:P1"/>
    <mergeCell ref="A2:P2"/>
    <mergeCell ref="A128:A130"/>
    <mergeCell ref="B128:B130"/>
    <mergeCell ref="C128:C130"/>
    <mergeCell ref="A16:A17"/>
    <mergeCell ref="B16:B17"/>
    <mergeCell ref="C16:C17"/>
    <mergeCell ref="A18:A20"/>
    <mergeCell ref="B18:B20"/>
    <mergeCell ref="A86:A94"/>
    <mergeCell ref="B86:B94"/>
    <mergeCell ref="C86:C94"/>
    <mergeCell ref="A78:A81"/>
    <mergeCell ref="B78:B81"/>
    <mergeCell ref="C78:C81"/>
    <mergeCell ref="A82:A85"/>
    <mergeCell ref="B82:B85"/>
    <mergeCell ref="C82:C85"/>
    <mergeCell ref="A126:A127"/>
    <mergeCell ref="B126:B127"/>
    <mergeCell ref="C126:C127"/>
    <mergeCell ref="A95:A97"/>
    <mergeCell ref="B95:B97"/>
    <mergeCell ref="C95:C97"/>
    <mergeCell ref="A124:A125"/>
    <mergeCell ref="B124:B125"/>
    <mergeCell ref="C124:C125"/>
    <mergeCell ref="A72:A74"/>
    <mergeCell ref="B72:B74"/>
    <mergeCell ref="C72:C74"/>
    <mergeCell ref="A75:A77"/>
    <mergeCell ref="B75:B77"/>
    <mergeCell ref="C75:C77"/>
    <mergeCell ref="A62:A64"/>
    <mergeCell ref="B62:B64"/>
    <mergeCell ref="C62:C64"/>
    <mergeCell ref="A65:A71"/>
    <mergeCell ref="B65:B71"/>
    <mergeCell ref="C65:C71"/>
    <mergeCell ref="A59:A61"/>
    <mergeCell ref="B59:B61"/>
    <mergeCell ref="C59:C61"/>
    <mergeCell ref="A57:A58"/>
    <mergeCell ref="B57:B58"/>
    <mergeCell ref="C57:C58"/>
    <mergeCell ref="A52:A54"/>
    <mergeCell ref="B52:B54"/>
    <mergeCell ref="C52:C54"/>
    <mergeCell ref="A55:A56"/>
    <mergeCell ref="B55:B56"/>
    <mergeCell ref="C55:C56"/>
    <mergeCell ref="A46:A48"/>
    <mergeCell ref="B46:B48"/>
    <mergeCell ref="C46:C48"/>
    <mergeCell ref="A49:A51"/>
    <mergeCell ref="B49:B51"/>
    <mergeCell ref="C49:C51"/>
    <mergeCell ref="A41:A43"/>
    <mergeCell ref="B41:B43"/>
    <mergeCell ref="C41:C43"/>
    <mergeCell ref="A44:A45"/>
    <mergeCell ref="B44:B45"/>
    <mergeCell ref="C44:C45"/>
    <mergeCell ref="A33:A37"/>
    <mergeCell ref="B33:B37"/>
    <mergeCell ref="C33:C37"/>
    <mergeCell ref="A38:A40"/>
    <mergeCell ref="B38:B40"/>
    <mergeCell ref="C38:C40"/>
    <mergeCell ref="A25:A29"/>
    <mergeCell ref="B25:B29"/>
    <mergeCell ref="C25:C29"/>
    <mergeCell ref="A30:A32"/>
    <mergeCell ref="B30:B32"/>
    <mergeCell ref="C30:C32"/>
    <mergeCell ref="A12:A15"/>
    <mergeCell ref="B12:B15"/>
    <mergeCell ref="C12:C15"/>
    <mergeCell ref="A23:A24"/>
    <mergeCell ref="B23:B24"/>
    <mergeCell ref="C23:C24"/>
    <mergeCell ref="B21:B22"/>
    <mergeCell ref="C21:C22"/>
    <mergeCell ref="C18:C20"/>
    <mergeCell ref="A21:A22"/>
    <mergeCell ref="A4:A7"/>
    <mergeCell ref="B4:B7"/>
    <mergeCell ref="C4:C7"/>
    <mergeCell ref="A8:A11"/>
    <mergeCell ref="B8:B11"/>
    <mergeCell ref="C8:C11"/>
  </mergeCells>
  <phoneticPr fontId="6" type="noConversion"/>
  <pageMargins left="0.23622047244094488" right="0.23622047244094488" top="0.19685039370078741" bottom="0.19685039370078741" header="0.31496062992125984" footer="0.31496062992125984"/>
  <pageSetup paperSize="9" scale="41" orientation="portrait" verticalDpi="300" r:id="rId1"/>
  <headerFooter alignWithMargins="0">
    <oddFooter>&amp;R&amp;P/&amp;N oldal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view="pageBreakPreview" topLeftCell="A13" workbookViewId="0">
      <selection activeCell="F29" sqref="F29"/>
    </sheetView>
  </sheetViews>
  <sheetFormatPr defaultRowHeight="12.75" x14ac:dyDescent="0.2"/>
  <cols>
    <col min="1" max="1" width="5.5703125" style="16" customWidth="1"/>
    <col min="2" max="2" width="51.140625" style="8" customWidth="1"/>
    <col min="3" max="3" width="6.85546875" style="9" customWidth="1"/>
    <col min="4" max="5" width="14.42578125" style="10" customWidth="1"/>
    <col min="6" max="7" width="16.140625" style="1" bestFit="1" customWidth="1"/>
    <col min="8" max="8" width="17.85546875" style="1" bestFit="1" customWidth="1"/>
    <col min="9" max="16384" width="9.140625" style="1"/>
  </cols>
  <sheetData>
    <row r="1" spans="1:5" ht="33.75" customHeight="1" x14ac:dyDescent="0.2">
      <c r="A1" s="413" t="s">
        <v>43</v>
      </c>
      <c r="B1" s="414"/>
      <c r="C1" s="414"/>
      <c r="D1" s="414"/>
      <c r="E1" s="414"/>
    </row>
    <row r="2" spans="1:5" ht="36" customHeight="1" thickBot="1" x14ac:dyDescent="0.25">
      <c r="A2" s="415" t="s">
        <v>521</v>
      </c>
      <c r="B2" s="416"/>
      <c r="C2" s="416"/>
      <c r="D2" s="416"/>
      <c r="E2" s="416"/>
    </row>
    <row r="3" spans="1:5" s="11" customFormat="1" ht="32.25" customHeight="1" x14ac:dyDescent="0.2">
      <c r="A3" s="2" t="s">
        <v>71</v>
      </c>
      <c r="B3" s="3" t="s">
        <v>1</v>
      </c>
      <c r="C3" s="3" t="s">
        <v>72</v>
      </c>
      <c r="D3" s="249" t="s">
        <v>517</v>
      </c>
      <c r="E3" s="249" t="s">
        <v>518</v>
      </c>
    </row>
    <row r="4" spans="1:5" ht="20.100000000000001" customHeight="1" x14ac:dyDescent="0.2">
      <c r="A4" s="12" t="s">
        <v>3</v>
      </c>
      <c r="B4" s="13" t="s">
        <v>44</v>
      </c>
      <c r="C4" s="6" t="s">
        <v>8</v>
      </c>
      <c r="D4" s="289">
        <v>0</v>
      </c>
      <c r="E4" s="289">
        <v>0</v>
      </c>
    </row>
    <row r="5" spans="1:5" ht="20.100000000000001" customHeight="1" x14ac:dyDescent="0.2">
      <c r="A5" s="14" t="s">
        <v>73</v>
      </c>
      <c r="B5" s="5" t="s">
        <v>45</v>
      </c>
      <c r="C5" s="6" t="s">
        <v>8</v>
      </c>
      <c r="D5" s="289">
        <v>0</v>
      </c>
      <c r="E5" s="289">
        <v>0</v>
      </c>
    </row>
    <row r="6" spans="1:5" ht="20.100000000000001" customHeight="1" x14ac:dyDescent="0.2">
      <c r="A6" s="14" t="s">
        <v>74</v>
      </c>
      <c r="B6" s="5" t="s">
        <v>46</v>
      </c>
      <c r="C6" s="6" t="s">
        <v>8</v>
      </c>
      <c r="D6" s="289">
        <v>0</v>
      </c>
      <c r="E6" s="289">
        <v>0</v>
      </c>
    </row>
    <row r="7" spans="1:5" ht="24.75" customHeight="1" x14ac:dyDescent="0.2">
      <c r="A7" s="14" t="s">
        <v>75</v>
      </c>
      <c r="B7" s="5" t="s">
        <v>47</v>
      </c>
      <c r="C7" s="6" t="s">
        <v>8</v>
      </c>
      <c r="D7" s="289">
        <v>0</v>
      </c>
      <c r="E7" s="289">
        <v>0</v>
      </c>
    </row>
    <row r="8" spans="1:5" ht="20.100000000000001" customHeight="1" x14ac:dyDescent="0.2">
      <c r="A8" s="14" t="s">
        <v>76</v>
      </c>
      <c r="B8" s="5" t="s">
        <v>48</v>
      </c>
      <c r="C8" s="6" t="s">
        <v>8</v>
      </c>
      <c r="D8" s="289">
        <v>0</v>
      </c>
      <c r="E8" s="289">
        <v>0</v>
      </c>
    </row>
    <row r="9" spans="1:5" ht="20.100000000000001" customHeight="1" x14ac:dyDescent="0.2">
      <c r="A9" s="14" t="s">
        <v>77</v>
      </c>
      <c r="B9" s="5" t="s">
        <v>49</v>
      </c>
      <c r="C9" s="6" t="s">
        <v>8</v>
      </c>
      <c r="D9" s="289">
        <v>232809</v>
      </c>
      <c r="E9" s="289">
        <v>245407</v>
      </c>
    </row>
    <row r="10" spans="1:5" ht="24.75" customHeight="1" x14ac:dyDescent="0.2">
      <c r="A10" s="14" t="s">
        <v>78</v>
      </c>
      <c r="B10" s="5" t="s">
        <v>79</v>
      </c>
      <c r="C10" s="6" t="s">
        <v>8</v>
      </c>
      <c r="D10" s="289">
        <v>0</v>
      </c>
      <c r="E10" s="289">
        <v>0</v>
      </c>
    </row>
    <row r="11" spans="1:5" ht="20.100000000000001" customHeight="1" x14ac:dyDescent="0.2">
      <c r="A11" s="14" t="s">
        <v>80</v>
      </c>
      <c r="B11" s="5" t="s">
        <v>50</v>
      </c>
      <c r="C11" s="6" t="s">
        <v>8</v>
      </c>
      <c r="D11" s="289">
        <v>0</v>
      </c>
      <c r="E11" s="289">
        <v>0</v>
      </c>
    </row>
    <row r="12" spans="1:5" ht="20.100000000000001" customHeight="1" x14ac:dyDescent="0.2">
      <c r="A12" s="14" t="s">
        <v>81</v>
      </c>
      <c r="B12" s="5" t="s">
        <v>51</v>
      </c>
      <c r="C12" s="6" t="s">
        <v>8</v>
      </c>
      <c r="D12" s="289">
        <v>0</v>
      </c>
      <c r="E12" s="289">
        <v>0</v>
      </c>
    </row>
    <row r="13" spans="1:5" ht="20.100000000000001" customHeight="1" x14ac:dyDescent="0.2">
      <c r="A13" s="14" t="s">
        <v>82</v>
      </c>
      <c r="B13" s="5" t="s">
        <v>52</v>
      </c>
      <c r="C13" s="6" t="s">
        <v>8</v>
      </c>
      <c r="D13" s="289">
        <v>0</v>
      </c>
      <c r="E13" s="289">
        <v>0</v>
      </c>
    </row>
    <row r="14" spans="1:5" ht="20.100000000000001" customHeight="1" x14ac:dyDescent="0.2">
      <c r="A14" s="14" t="s">
        <v>83</v>
      </c>
      <c r="B14" s="5" t="s">
        <v>53</v>
      </c>
      <c r="C14" s="6" t="s">
        <v>8</v>
      </c>
      <c r="D14" s="289">
        <v>0</v>
      </c>
      <c r="E14" s="289">
        <v>0</v>
      </c>
    </row>
    <row r="15" spans="1:5" ht="27.75" customHeight="1" x14ac:dyDescent="0.2">
      <c r="A15" s="14" t="s">
        <v>6</v>
      </c>
      <c r="B15" s="5" t="s">
        <v>54</v>
      </c>
      <c r="C15" s="6" t="s">
        <v>21</v>
      </c>
      <c r="D15" s="289">
        <v>0</v>
      </c>
      <c r="E15" s="289">
        <v>0</v>
      </c>
    </row>
    <row r="16" spans="1:5" ht="20.100000000000001" customHeight="1" x14ac:dyDescent="0.2">
      <c r="A16" s="14" t="s">
        <v>84</v>
      </c>
      <c r="B16" s="5" t="s">
        <v>55</v>
      </c>
      <c r="C16" s="6" t="s">
        <v>21</v>
      </c>
      <c r="D16" s="289">
        <v>0</v>
      </c>
      <c r="E16" s="289">
        <v>0</v>
      </c>
    </row>
    <row r="17" spans="1:8" ht="20.100000000000001" customHeight="1" x14ac:dyDescent="0.2">
      <c r="A17" s="14" t="s">
        <v>85</v>
      </c>
      <c r="B17" s="5" t="s">
        <v>56</v>
      </c>
      <c r="C17" s="6" t="s">
        <v>21</v>
      </c>
      <c r="D17" s="289">
        <v>0</v>
      </c>
      <c r="E17" s="289">
        <v>0</v>
      </c>
    </row>
    <row r="18" spans="1:8" ht="27" customHeight="1" x14ac:dyDescent="0.2">
      <c r="A18" s="14" t="s">
        <v>86</v>
      </c>
      <c r="B18" s="5" t="s">
        <v>87</v>
      </c>
      <c r="C18" s="6" t="s">
        <v>21</v>
      </c>
      <c r="D18" s="289">
        <v>0</v>
      </c>
      <c r="E18" s="289">
        <v>0</v>
      </c>
    </row>
    <row r="19" spans="1:8" ht="20.100000000000001" customHeight="1" x14ac:dyDescent="0.2">
      <c r="A19" s="14" t="s">
        <v>88</v>
      </c>
      <c r="B19" s="5" t="s">
        <v>57</v>
      </c>
      <c r="C19" s="6" t="s">
        <v>21</v>
      </c>
      <c r="D19" s="289">
        <v>0</v>
      </c>
      <c r="E19" s="289">
        <v>0</v>
      </c>
    </row>
    <row r="20" spans="1:8" ht="20.100000000000001" customHeight="1" x14ac:dyDescent="0.2">
      <c r="A20" s="14" t="s">
        <v>89</v>
      </c>
      <c r="B20" s="5" t="s">
        <v>58</v>
      </c>
      <c r="C20" s="6" t="s">
        <v>21</v>
      </c>
      <c r="D20" s="289">
        <v>0</v>
      </c>
      <c r="E20" s="289">
        <v>0</v>
      </c>
    </row>
    <row r="21" spans="1:8" ht="20.100000000000001" customHeight="1" x14ac:dyDescent="0.2">
      <c r="A21" s="14" t="s">
        <v>9</v>
      </c>
      <c r="B21" s="171" t="s">
        <v>59</v>
      </c>
      <c r="C21" s="172" t="s">
        <v>21</v>
      </c>
      <c r="D21" s="289">
        <v>978805</v>
      </c>
      <c r="E21" s="506">
        <f>E22+E23</f>
        <v>1108937</v>
      </c>
      <c r="F21" s="242"/>
      <c r="G21" s="242"/>
      <c r="H21" s="242"/>
    </row>
    <row r="22" spans="1:8" ht="20.100000000000001" customHeight="1" x14ac:dyDescent="0.2">
      <c r="A22" s="14" t="s">
        <v>90</v>
      </c>
      <c r="B22" s="171" t="s">
        <v>60</v>
      </c>
      <c r="C22" s="172" t="s">
        <v>21</v>
      </c>
      <c r="D22" s="289">
        <v>374412</v>
      </c>
      <c r="E22" s="289">
        <v>401640</v>
      </c>
    </row>
    <row r="23" spans="1:8" ht="20.100000000000001" customHeight="1" x14ac:dyDescent="0.2">
      <c r="A23" s="14" t="s">
        <v>91</v>
      </c>
      <c r="B23" s="171" t="s">
        <v>61</v>
      </c>
      <c r="C23" s="172" t="s">
        <v>21</v>
      </c>
      <c r="D23" s="289">
        <v>604393</v>
      </c>
      <c r="E23" s="289">
        <v>707297</v>
      </c>
    </row>
    <row r="24" spans="1:8" ht="20.100000000000001" customHeight="1" x14ac:dyDescent="0.2">
      <c r="A24" s="14" t="s">
        <v>62</v>
      </c>
      <c r="B24" s="171" t="s">
        <v>63</v>
      </c>
      <c r="C24" s="172" t="s">
        <v>21</v>
      </c>
      <c r="D24" s="293">
        <v>29214</v>
      </c>
      <c r="E24" s="507">
        <f>E25</f>
        <v>26940</v>
      </c>
    </row>
    <row r="25" spans="1:8" ht="20.100000000000001" customHeight="1" x14ac:dyDescent="0.2">
      <c r="A25" s="14" t="s">
        <v>92</v>
      </c>
      <c r="B25" s="171" t="s">
        <v>64</v>
      </c>
      <c r="C25" s="172" t="s">
        <v>21</v>
      </c>
      <c r="D25" s="293">
        <v>29214</v>
      </c>
      <c r="E25" s="293">
        <v>26940</v>
      </c>
    </row>
    <row r="26" spans="1:8" ht="20.100000000000001" customHeight="1" x14ac:dyDescent="0.2">
      <c r="A26" s="14" t="s">
        <v>11</v>
      </c>
      <c r="B26" s="171" t="s">
        <v>65</v>
      </c>
      <c r="C26" s="172" t="s">
        <v>21</v>
      </c>
      <c r="D26" s="293">
        <v>504003</v>
      </c>
      <c r="E26" s="507">
        <f>E27+E28+E29</f>
        <v>495345</v>
      </c>
    </row>
    <row r="27" spans="1:8" ht="20.100000000000001" customHeight="1" x14ac:dyDescent="0.2">
      <c r="A27" s="14" t="s">
        <v>93</v>
      </c>
      <c r="B27" s="171" t="s">
        <v>66</v>
      </c>
      <c r="C27" s="172" t="s">
        <v>21</v>
      </c>
      <c r="D27" s="293">
        <v>41201</v>
      </c>
      <c r="E27" s="293">
        <v>45721</v>
      </c>
    </row>
    <row r="28" spans="1:8" ht="20.100000000000001" customHeight="1" x14ac:dyDescent="0.2">
      <c r="A28" s="14" t="s">
        <v>94</v>
      </c>
      <c r="B28" s="171" t="s">
        <v>67</v>
      </c>
      <c r="C28" s="172" t="s">
        <v>21</v>
      </c>
      <c r="D28" s="293">
        <v>92689</v>
      </c>
      <c r="E28" s="293">
        <v>110193</v>
      </c>
    </row>
    <row r="29" spans="1:8" ht="20.100000000000001" customHeight="1" x14ac:dyDescent="0.2">
      <c r="A29" s="14" t="s">
        <v>95</v>
      </c>
      <c r="B29" s="171" t="s">
        <v>68</v>
      </c>
      <c r="C29" s="172" t="s">
        <v>21</v>
      </c>
      <c r="D29" s="293">
        <v>370113</v>
      </c>
      <c r="E29" s="293">
        <v>339431</v>
      </c>
    </row>
    <row r="30" spans="1:8" ht="20.100000000000001" customHeight="1" x14ac:dyDescent="0.2">
      <c r="A30" s="14" t="s">
        <v>96</v>
      </c>
      <c r="B30" s="171" t="s">
        <v>69</v>
      </c>
      <c r="C30" s="172" t="s">
        <v>21</v>
      </c>
      <c r="D30" s="293">
        <v>0</v>
      </c>
      <c r="E30" s="293">
        <v>0</v>
      </c>
    </row>
    <row r="31" spans="1:8" ht="20.100000000000001" customHeight="1" thickBot="1" x14ac:dyDescent="0.25">
      <c r="A31" s="15" t="s">
        <v>97</v>
      </c>
      <c r="B31" s="177" t="s">
        <v>70</v>
      </c>
      <c r="C31" s="178" t="s">
        <v>21</v>
      </c>
      <c r="D31" s="293"/>
      <c r="E31" s="293"/>
    </row>
  </sheetData>
  <mergeCells count="2">
    <mergeCell ref="A1:E1"/>
    <mergeCell ref="A2:E2"/>
  </mergeCells>
  <phoneticPr fontId="6" type="noConversion"/>
  <pageMargins left="0.53" right="0.56000000000000005" top="0.53" bottom="0.65" header="0.42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view="pageBreakPreview" workbookViewId="0">
      <selection activeCell="A3" sqref="A3"/>
    </sheetView>
  </sheetViews>
  <sheetFormatPr defaultRowHeight="12.75" x14ac:dyDescent="0.2"/>
  <cols>
    <col min="1" max="1" width="5.5703125" style="73" customWidth="1"/>
    <col min="2" max="2" width="51.140625" style="74" customWidth="1"/>
    <col min="3" max="3" width="7.42578125" style="75" customWidth="1"/>
    <col min="4" max="5" width="14.42578125" style="76" customWidth="1"/>
    <col min="6" max="16384" width="9.140625" style="50"/>
  </cols>
  <sheetData>
    <row r="1" spans="1:5" ht="46.5" customHeight="1" x14ac:dyDescent="0.2">
      <c r="A1" s="417" t="s">
        <v>98</v>
      </c>
      <c r="B1" s="418"/>
      <c r="C1" s="418"/>
      <c r="D1" s="418"/>
      <c r="E1" s="418"/>
    </row>
    <row r="2" spans="1:5" ht="36" customHeight="1" thickBot="1" x14ac:dyDescent="0.25">
      <c r="A2" s="419" t="s">
        <v>522</v>
      </c>
      <c r="B2" s="420"/>
      <c r="C2" s="420"/>
      <c r="D2" s="420"/>
      <c r="E2" s="420"/>
    </row>
    <row r="3" spans="1:5" s="72" customFormat="1" ht="32.25" customHeight="1" x14ac:dyDescent="0.2">
      <c r="A3" s="77"/>
      <c r="B3" s="78"/>
      <c r="C3" s="78" t="s">
        <v>72</v>
      </c>
      <c r="D3" s="79" t="s">
        <v>517</v>
      </c>
      <c r="E3" s="249" t="s">
        <v>518</v>
      </c>
    </row>
    <row r="4" spans="1:5" ht="20.100000000000001" customHeight="1" x14ac:dyDescent="0.2">
      <c r="A4" s="80"/>
      <c r="B4" s="81" t="s">
        <v>99</v>
      </c>
      <c r="C4" s="82" t="s">
        <v>21</v>
      </c>
      <c r="D4" s="83">
        <v>0</v>
      </c>
      <c r="E4" s="289">
        <v>0</v>
      </c>
    </row>
    <row r="5" spans="1:5" ht="20.100000000000001" customHeight="1" x14ac:dyDescent="0.2">
      <c r="A5" s="84"/>
      <c r="B5" s="81" t="s">
        <v>100</v>
      </c>
      <c r="C5" s="82" t="s">
        <v>21</v>
      </c>
      <c r="D5" s="83">
        <v>0</v>
      </c>
      <c r="E5" s="289">
        <v>0</v>
      </c>
    </row>
    <row r="6" spans="1:5" ht="20.100000000000001" customHeight="1" thickBot="1" x14ac:dyDescent="0.25">
      <c r="A6" s="85"/>
      <c r="B6" s="86" t="s">
        <v>101</v>
      </c>
      <c r="C6" s="87" t="s">
        <v>21</v>
      </c>
      <c r="D6" s="88">
        <v>0</v>
      </c>
      <c r="E6" s="292">
        <v>0</v>
      </c>
    </row>
  </sheetData>
  <mergeCells count="2">
    <mergeCell ref="A1:E1"/>
    <mergeCell ref="A2:E2"/>
  </mergeCells>
  <phoneticPr fontId="6" type="noConversion"/>
  <pageMargins left="0.54" right="0.5" top="1" bottom="1" header="0.5" footer="0.5"/>
  <pageSetup paperSize="9" scale="9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view="pageBreakPreview" workbookViewId="0">
      <selection activeCell="A3" sqref="A3"/>
    </sheetView>
  </sheetViews>
  <sheetFormatPr defaultRowHeight="12.75" x14ac:dyDescent="0.2"/>
  <cols>
    <col min="1" max="1" width="39.85546875" style="39" customWidth="1"/>
    <col min="2" max="2" width="14.7109375" style="39" customWidth="1"/>
    <col min="3" max="3" width="22.5703125" style="39" customWidth="1"/>
    <col min="4" max="4" width="27.140625" style="39" customWidth="1"/>
    <col min="5" max="16384" width="9.140625" style="39"/>
  </cols>
  <sheetData>
    <row r="1" spans="1:4" ht="45" customHeight="1" x14ac:dyDescent="0.2">
      <c r="A1" s="421" t="s">
        <v>342</v>
      </c>
      <c r="B1" s="421"/>
      <c r="C1" s="421"/>
      <c r="D1" s="421"/>
    </row>
    <row r="2" spans="1:4" ht="30.75" customHeight="1" x14ac:dyDescent="0.2">
      <c r="A2" s="422" t="s">
        <v>523</v>
      </c>
      <c r="B2" s="422"/>
      <c r="C2" s="422"/>
      <c r="D2" s="422"/>
    </row>
    <row r="3" spans="1:4" s="69" customFormat="1" ht="16.5" x14ac:dyDescent="0.2">
      <c r="A3" s="57" t="s">
        <v>343</v>
      </c>
      <c r="B3" s="57" t="s">
        <v>211</v>
      </c>
      <c r="C3" s="70" t="s">
        <v>517</v>
      </c>
      <c r="D3" s="70" t="s">
        <v>518</v>
      </c>
    </row>
    <row r="4" spans="1:4" ht="16.5" x14ac:dyDescent="0.2">
      <c r="A4" s="55" t="s">
        <v>341</v>
      </c>
      <c r="B4" s="55" t="s">
        <v>21</v>
      </c>
      <c r="C4" s="71">
        <v>0</v>
      </c>
      <c r="D4" s="294">
        <v>0</v>
      </c>
    </row>
    <row r="5" spans="1:4" ht="16.5" x14ac:dyDescent="0.2">
      <c r="A5" s="55" t="s">
        <v>341</v>
      </c>
      <c r="B5" s="55" t="s">
        <v>21</v>
      </c>
      <c r="C5" s="71">
        <v>0</v>
      </c>
      <c r="D5" s="294">
        <v>0</v>
      </c>
    </row>
    <row r="6" spans="1:4" ht="16.5" x14ac:dyDescent="0.2">
      <c r="A6" s="55" t="s">
        <v>341</v>
      </c>
      <c r="B6" s="55" t="s">
        <v>21</v>
      </c>
      <c r="C6" s="71">
        <v>0</v>
      </c>
      <c r="D6" s="294">
        <v>0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83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view="pageBreakPreview" workbookViewId="0">
      <selection activeCell="C20" sqref="C20"/>
    </sheetView>
  </sheetViews>
  <sheetFormatPr defaultRowHeight="12.75" x14ac:dyDescent="0.2"/>
  <cols>
    <col min="1" max="1" width="61.7109375" style="39" customWidth="1"/>
    <col min="2" max="3" width="15.42578125" style="39" customWidth="1"/>
    <col min="4" max="4" width="17.5703125" style="39" customWidth="1"/>
    <col min="5" max="16384" width="9.140625" style="39"/>
  </cols>
  <sheetData>
    <row r="1" spans="1:9" ht="43.5" customHeight="1" x14ac:dyDescent="0.2">
      <c r="A1" s="417" t="s">
        <v>210</v>
      </c>
      <c r="B1" s="423"/>
      <c r="C1" s="423"/>
      <c r="D1" s="423"/>
      <c r="E1" s="66"/>
      <c r="F1" s="66"/>
      <c r="G1" s="66"/>
      <c r="H1" s="66"/>
      <c r="I1" s="66"/>
    </row>
    <row r="2" spans="1:9" ht="20.100000000000001" customHeight="1" x14ac:dyDescent="0.2">
      <c r="A2" s="424" t="s">
        <v>349</v>
      </c>
      <c r="B2" s="424"/>
      <c r="C2" s="424"/>
      <c r="D2" s="424"/>
    </row>
    <row r="3" spans="1:9" ht="15.75" thickBot="1" x14ac:dyDescent="0.25">
      <c r="A3" s="67"/>
      <c r="B3" s="67"/>
      <c r="C3" s="67"/>
      <c r="D3" s="67"/>
    </row>
    <row r="4" spans="1:9" ht="30" customHeight="1" x14ac:dyDescent="0.2">
      <c r="A4" s="68"/>
      <c r="B4" s="112" t="s">
        <v>211</v>
      </c>
      <c r="C4" s="318" t="s">
        <v>517</v>
      </c>
      <c r="D4" s="318" t="s">
        <v>518</v>
      </c>
    </row>
    <row r="5" spans="1:9" ht="30" customHeight="1" x14ac:dyDescent="0.2">
      <c r="A5" s="295" t="s">
        <v>212</v>
      </c>
      <c r="B5" s="296" t="s">
        <v>21</v>
      </c>
      <c r="C5" s="297">
        <v>0</v>
      </c>
      <c r="D5" s="297">
        <v>0</v>
      </c>
    </row>
    <row r="6" spans="1:9" ht="30" customHeight="1" x14ac:dyDescent="0.2">
      <c r="A6" s="295" t="s">
        <v>213</v>
      </c>
      <c r="B6" s="296" t="s">
        <v>21</v>
      </c>
      <c r="C6" s="304" t="s">
        <v>341</v>
      </c>
      <c r="D6" s="304" t="s">
        <v>341</v>
      </c>
    </row>
    <row r="7" spans="1:9" ht="30" customHeight="1" x14ac:dyDescent="0.2">
      <c r="A7" s="295" t="s">
        <v>214</v>
      </c>
      <c r="B7" s="296" t="s">
        <v>21</v>
      </c>
      <c r="C7" s="297">
        <v>0</v>
      </c>
      <c r="D7" s="297">
        <v>0</v>
      </c>
    </row>
    <row r="8" spans="1:9" ht="30" customHeight="1" x14ac:dyDescent="0.2">
      <c r="A8" s="295" t="s">
        <v>215</v>
      </c>
      <c r="B8" s="296" t="s">
        <v>21</v>
      </c>
      <c r="C8" s="297">
        <v>0</v>
      </c>
      <c r="D8" s="297">
        <v>0</v>
      </c>
    </row>
    <row r="9" spans="1:9" ht="30" customHeight="1" x14ac:dyDescent="0.2">
      <c r="A9" s="295" t="s">
        <v>216</v>
      </c>
      <c r="B9" s="296" t="s">
        <v>219</v>
      </c>
      <c r="C9" s="298">
        <v>0</v>
      </c>
      <c r="D9" s="298">
        <v>0</v>
      </c>
    </row>
    <row r="10" spans="1:9" ht="30" customHeight="1" x14ac:dyDescent="0.2">
      <c r="A10" s="295" t="s">
        <v>217</v>
      </c>
      <c r="B10" s="296" t="s">
        <v>21</v>
      </c>
      <c r="C10" s="297">
        <v>15573</v>
      </c>
      <c r="D10" s="297">
        <v>45849</v>
      </c>
    </row>
    <row r="11" spans="1:9" ht="30" customHeight="1" x14ac:dyDescent="0.2">
      <c r="A11" s="295" t="s">
        <v>353</v>
      </c>
      <c r="B11" s="296" t="s">
        <v>21</v>
      </c>
      <c r="C11" s="297">
        <v>140</v>
      </c>
      <c r="D11" s="297">
        <v>2219</v>
      </c>
    </row>
    <row r="12" spans="1:9" ht="30" customHeight="1" thickBot="1" x14ac:dyDescent="0.25">
      <c r="A12" s="299" t="s">
        <v>218</v>
      </c>
      <c r="B12" s="300" t="s">
        <v>21</v>
      </c>
      <c r="C12" s="301">
        <v>15713</v>
      </c>
      <c r="D12" s="406">
        <v>48068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79" orientation="portrait" horizontalDpi="12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view="pageBreakPreview" workbookViewId="0">
      <selection activeCell="C6" sqref="C6"/>
    </sheetView>
  </sheetViews>
  <sheetFormatPr defaultRowHeight="12.75" x14ac:dyDescent="0.2"/>
  <cols>
    <col min="1" max="1" width="62.85546875" style="31" customWidth="1"/>
    <col min="2" max="2" width="15.42578125" style="31" customWidth="1"/>
    <col min="3" max="3" width="12" style="31" customWidth="1"/>
    <col min="4" max="16384" width="9.140625" style="31"/>
  </cols>
  <sheetData>
    <row r="1" spans="1:3" ht="44.25" customHeight="1" x14ac:dyDescent="0.2">
      <c r="A1" s="425" t="s">
        <v>327</v>
      </c>
      <c r="B1" s="425"/>
      <c r="C1" s="425"/>
    </row>
    <row r="2" spans="1:3" ht="21.75" customHeight="1" thickBot="1" x14ac:dyDescent="0.25">
      <c r="A2" s="426" t="s">
        <v>519</v>
      </c>
      <c r="B2" s="427"/>
      <c r="C2" s="427"/>
    </row>
    <row r="3" spans="1:3" ht="15" customHeight="1" x14ac:dyDescent="0.2">
      <c r="A3" s="61"/>
      <c r="B3" s="62" t="s">
        <v>211</v>
      </c>
      <c r="C3" s="282" t="s">
        <v>518</v>
      </c>
    </row>
    <row r="4" spans="1:3" ht="23.25" customHeight="1" x14ac:dyDescent="0.2">
      <c r="A4" s="173" t="s">
        <v>328</v>
      </c>
      <c r="B4" s="174" t="s">
        <v>329</v>
      </c>
      <c r="C4" s="250">
        <v>28</v>
      </c>
    </row>
    <row r="5" spans="1:3" ht="28.5" customHeight="1" x14ac:dyDescent="0.2">
      <c r="A5" s="63" t="s">
        <v>330</v>
      </c>
      <c r="B5" s="45" t="s">
        <v>219</v>
      </c>
      <c r="C5" s="283">
        <v>5715</v>
      </c>
    </row>
    <row r="6" spans="1:3" ht="20.25" customHeight="1" x14ac:dyDescent="0.2">
      <c r="A6" s="173" t="s">
        <v>331</v>
      </c>
      <c r="B6" s="174" t="s">
        <v>219</v>
      </c>
      <c r="C6" s="404">
        <v>1523</v>
      </c>
    </row>
    <row r="7" spans="1:3" ht="21" customHeight="1" x14ac:dyDescent="0.2">
      <c r="A7" s="243" t="s">
        <v>354</v>
      </c>
      <c r="B7" s="174" t="s">
        <v>219</v>
      </c>
      <c r="C7" s="250">
        <v>176</v>
      </c>
    </row>
    <row r="8" spans="1:3" ht="19.5" customHeight="1" x14ac:dyDescent="0.2">
      <c r="A8" s="63" t="s">
        <v>332</v>
      </c>
      <c r="B8" s="45" t="s">
        <v>333</v>
      </c>
      <c r="C8" s="250">
        <v>17.510999999999999</v>
      </c>
    </row>
    <row r="9" spans="1:3" ht="18.75" customHeight="1" x14ac:dyDescent="0.2">
      <c r="A9" s="63" t="s">
        <v>334</v>
      </c>
      <c r="B9" s="45" t="s">
        <v>219</v>
      </c>
      <c r="C9" s="250">
        <v>0</v>
      </c>
    </row>
    <row r="10" spans="1:3" ht="30.75" customHeight="1" thickBot="1" x14ac:dyDescent="0.25">
      <c r="A10" s="64" t="s">
        <v>335</v>
      </c>
      <c r="B10" s="49" t="s">
        <v>219</v>
      </c>
      <c r="C10" s="251">
        <v>0</v>
      </c>
    </row>
    <row r="11" spans="1:3" ht="15" customHeight="1" x14ac:dyDescent="0.2">
      <c r="A11" s="59"/>
      <c r="B11" s="52"/>
      <c r="C11" s="52"/>
    </row>
    <row r="12" spans="1:3" ht="15" customHeight="1" x14ac:dyDescent="0.2">
      <c r="A12" s="59"/>
      <c r="B12" s="52"/>
      <c r="C12" s="52"/>
    </row>
    <row r="13" spans="1:3" ht="15" customHeight="1" x14ac:dyDescent="0.2">
      <c r="A13" s="59"/>
      <c r="B13" s="52"/>
      <c r="C13" s="52"/>
    </row>
    <row r="14" spans="1:3" ht="15" customHeight="1" x14ac:dyDescent="0.2">
      <c r="A14" s="59"/>
      <c r="B14" s="52"/>
      <c r="C14" s="52"/>
    </row>
    <row r="15" spans="1:3" ht="15" customHeight="1" x14ac:dyDescent="0.2">
      <c r="A15" s="59"/>
      <c r="B15" s="52"/>
      <c r="C15" s="52"/>
    </row>
    <row r="16" spans="1:3" ht="15" customHeight="1" x14ac:dyDescent="0.2">
      <c r="A16" s="59"/>
      <c r="B16" s="52"/>
      <c r="C16" s="52"/>
    </row>
    <row r="17" spans="1:3" ht="15" customHeight="1" x14ac:dyDescent="0.2">
      <c r="A17" s="59"/>
      <c r="B17" s="52"/>
      <c r="C17" s="52"/>
    </row>
    <row r="18" spans="1:3" ht="15" customHeight="1" x14ac:dyDescent="0.2">
      <c r="A18" s="59"/>
      <c r="B18" s="52"/>
      <c r="C18" s="52"/>
    </row>
    <row r="19" spans="1:3" ht="15" customHeight="1" x14ac:dyDescent="0.2">
      <c r="A19" s="59"/>
      <c r="B19" s="52"/>
      <c r="C19" s="52"/>
    </row>
    <row r="20" spans="1:3" ht="15" customHeight="1" x14ac:dyDescent="0.2">
      <c r="A20" s="60"/>
      <c r="B20" s="52"/>
      <c r="C20" s="52"/>
    </row>
    <row r="21" spans="1:3" ht="15" customHeight="1" x14ac:dyDescent="0.2">
      <c r="A21" s="60"/>
      <c r="B21" s="52"/>
      <c r="C21" s="52"/>
    </row>
    <row r="22" spans="1:3" ht="15" customHeight="1" x14ac:dyDescent="0.2">
      <c r="A22" s="60"/>
      <c r="B22" s="52"/>
      <c r="C22" s="52"/>
    </row>
    <row r="23" spans="1:3" ht="15" customHeight="1" x14ac:dyDescent="0.2">
      <c r="A23" s="60"/>
      <c r="B23" s="52"/>
      <c r="C23" s="52"/>
    </row>
    <row r="24" spans="1:3" ht="15" customHeight="1" x14ac:dyDescent="0.2">
      <c r="A24" s="60"/>
      <c r="B24" s="52"/>
      <c r="C24" s="52"/>
    </row>
    <row r="25" spans="1:3" ht="15" customHeight="1" x14ac:dyDescent="0.2"/>
    <row r="26" spans="1:3" ht="15" customHeight="1" x14ac:dyDescent="0.2"/>
    <row r="27" spans="1:3" ht="15" customHeight="1" x14ac:dyDescent="0.2"/>
  </sheetData>
  <mergeCells count="2">
    <mergeCell ref="A1:C1"/>
    <mergeCell ref="A2:C2"/>
  </mergeCells>
  <phoneticPr fontId="6" type="noConversion"/>
  <pageMargins left="0.42" right="0.75" top="1" bottom="1" header="0.5" footer="0.5"/>
  <pageSetup paperSize="9" orientation="portrait" horizontalDpi="12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view="pageBreakPreview" workbookViewId="0">
      <selection activeCell="I25" sqref="I25"/>
    </sheetView>
  </sheetViews>
  <sheetFormatPr defaultRowHeight="12.75" x14ac:dyDescent="0.2"/>
  <cols>
    <col min="1" max="1" width="37.85546875" style="39" customWidth="1"/>
    <col min="2" max="2" width="21.7109375" style="39" customWidth="1"/>
    <col min="3" max="3" width="20.7109375" style="39" customWidth="1"/>
    <col min="4" max="4" width="19.28515625" style="39" customWidth="1"/>
    <col min="5" max="16384" width="9.140625" style="39"/>
  </cols>
  <sheetData>
    <row r="1" spans="1:4" ht="44.25" customHeight="1" x14ac:dyDescent="0.2">
      <c r="A1" s="421" t="s">
        <v>336</v>
      </c>
      <c r="B1" s="421"/>
      <c r="C1" s="421"/>
      <c r="D1" s="421"/>
    </row>
    <row r="2" spans="1:4" ht="15.75" x14ac:dyDescent="0.2">
      <c r="A2" s="30"/>
      <c r="B2" s="30"/>
      <c r="C2" s="30"/>
      <c r="D2" s="30"/>
    </row>
    <row r="3" spans="1:4" x14ac:dyDescent="0.2">
      <c r="A3" s="428" t="s">
        <v>348</v>
      </c>
      <c r="B3" s="428"/>
      <c r="C3" s="428"/>
      <c r="D3" s="428"/>
    </row>
    <row r="4" spans="1:4" ht="13.5" thickBot="1" x14ac:dyDescent="0.25">
      <c r="A4" s="53"/>
      <c r="B4" s="54"/>
      <c r="C4" s="54"/>
      <c r="D4" s="54"/>
    </row>
    <row r="5" spans="1:4" s="58" customFormat="1" ht="16.5" x14ac:dyDescent="0.2">
      <c r="A5" s="95" t="s">
        <v>337</v>
      </c>
      <c r="B5" s="96" t="s">
        <v>338</v>
      </c>
      <c r="C5" s="96" t="s">
        <v>339</v>
      </c>
      <c r="D5" s="97" t="s">
        <v>340</v>
      </c>
    </row>
    <row r="6" spans="1:4" s="52" customFormat="1" ht="16.5" x14ac:dyDescent="0.2">
      <c r="A6" s="98" t="s">
        <v>341</v>
      </c>
      <c r="B6" s="56" t="s">
        <v>341</v>
      </c>
      <c r="C6" s="56" t="s">
        <v>341</v>
      </c>
      <c r="D6" s="99" t="s">
        <v>341</v>
      </c>
    </row>
    <row r="7" spans="1:4" s="52" customFormat="1" ht="17.25" thickBot="1" x14ac:dyDescent="0.25">
      <c r="A7" s="100" t="s">
        <v>341</v>
      </c>
      <c r="B7" s="101" t="s">
        <v>341</v>
      </c>
      <c r="C7" s="101" t="s">
        <v>341</v>
      </c>
      <c r="D7" s="102" t="s">
        <v>341</v>
      </c>
    </row>
  </sheetData>
  <mergeCells count="2">
    <mergeCell ref="A1:D1"/>
    <mergeCell ref="A3:D3"/>
  </mergeCells>
  <phoneticPr fontId="6" type="noConversion"/>
  <pageMargins left="0.59" right="0.61" top="1" bottom="1" header="0.5" footer="0.5"/>
  <pageSetup paperSize="9" scale="9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65"/>
  <sheetViews>
    <sheetView zoomScaleSheetLayoutView="100" workbookViewId="0">
      <pane ySplit="3" topLeftCell="A7" activePane="bottomLeft" state="frozen"/>
      <selection pane="bottomLeft" activeCell="H65" sqref="H65"/>
    </sheetView>
  </sheetViews>
  <sheetFormatPr defaultRowHeight="12.75" x14ac:dyDescent="0.2"/>
  <cols>
    <col min="1" max="1" width="12.28515625" style="180" customWidth="1"/>
    <col min="2" max="2" width="13" style="180" customWidth="1"/>
    <col min="3" max="3" width="20.42578125" style="180" bestFit="1" customWidth="1"/>
    <col min="4" max="4" width="13" style="181" customWidth="1"/>
    <col min="5" max="5" width="15.85546875" style="182" customWidth="1"/>
    <col min="6" max="6" width="15.85546875" style="184" customWidth="1"/>
    <col min="7" max="7" width="13.85546875" style="182" customWidth="1"/>
    <col min="8" max="8" width="12.140625" style="184" customWidth="1"/>
    <col min="9" max="9" width="13.28515625" style="183" customWidth="1"/>
    <col min="10" max="16384" width="9.140625" style="39"/>
  </cols>
  <sheetData>
    <row r="1" spans="1:9" ht="42.75" customHeight="1" x14ac:dyDescent="0.2">
      <c r="A1" s="409" t="s">
        <v>102</v>
      </c>
      <c r="B1" s="429"/>
      <c r="C1" s="429"/>
      <c r="D1" s="429"/>
      <c r="E1" s="429"/>
      <c r="F1" s="429"/>
      <c r="G1" s="429"/>
      <c r="H1" s="429"/>
      <c r="I1" s="429"/>
    </row>
    <row r="2" spans="1:9" s="89" customFormat="1" ht="21.75" customHeight="1" thickBot="1" x14ac:dyDescent="0.25">
      <c r="A2" s="430" t="s">
        <v>524</v>
      </c>
      <c r="B2" s="431"/>
      <c r="C2" s="431"/>
      <c r="D2" s="431"/>
      <c r="E2" s="431"/>
      <c r="F2" s="431"/>
      <c r="G2" s="431"/>
      <c r="H2" s="431"/>
      <c r="I2" s="431"/>
    </row>
    <row r="3" spans="1:9" s="92" customFormat="1" ht="70.5" customHeight="1" thickBot="1" x14ac:dyDescent="0.25">
      <c r="A3" s="254" t="s">
        <v>489</v>
      </c>
      <c r="B3" s="188" t="s">
        <v>489</v>
      </c>
      <c r="C3" s="188" t="s">
        <v>488</v>
      </c>
      <c r="D3" s="188" t="s">
        <v>104</v>
      </c>
      <c r="E3" s="188" t="s">
        <v>105</v>
      </c>
      <c r="F3" s="189" t="s">
        <v>487</v>
      </c>
      <c r="G3" s="188" t="s">
        <v>107</v>
      </c>
      <c r="H3" s="189" t="s">
        <v>322</v>
      </c>
      <c r="I3" s="190" t="s">
        <v>108</v>
      </c>
    </row>
    <row r="4" spans="1:9" x14ac:dyDescent="0.2">
      <c r="A4" s="207" t="s">
        <v>133</v>
      </c>
      <c r="B4" s="232" t="s">
        <v>224</v>
      </c>
      <c r="C4" s="232" t="s">
        <v>449</v>
      </c>
      <c r="D4" s="310">
        <v>210</v>
      </c>
      <c r="E4" s="176"/>
      <c r="F4" s="186"/>
      <c r="G4" s="179">
        <v>1.124663</v>
      </c>
      <c r="H4" s="313">
        <v>27065</v>
      </c>
      <c r="I4" s="185">
        <f t="shared" ref="I4:I35" si="0">H4*252.387/1000</f>
        <v>6830.854155</v>
      </c>
    </row>
    <row r="5" spans="1:9" x14ac:dyDescent="0.2">
      <c r="A5" s="207" t="s">
        <v>132</v>
      </c>
      <c r="B5" s="232" t="s">
        <v>225</v>
      </c>
      <c r="C5" s="232" t="s">
        <v>450</v>
      </c>
      <c r="D5" s="311">
        <v>210</v>
      </c>
      <c r="E5" s="176"/>
      <c r="F5" s="186"/>
      <c r="G5" s="179">
        <v>1.0982339999999999</v>
      </c>
      <c r="H5" s="313">
        <v>26963</v>
      </c>
      <c r="I5" s="185">
        <f t="shared" si="0"/>
        <v>6805.1106810000001</v>
      </c>
    </row>
    <row r="6" spans="1:9" x14ac:dyDescent="0.2">
      <c r="A6" s="207" t="s">
        <v>185</v>
      </c>
      <c r="B6" s="232" t="s">
        <v>231</v>
      </c>
      <c r="C6" s="232" t="s">
        <v>456</v>
      </c>
      <c r="D6" s="311">
        <v>48</v>
      </c>
      <c r="E6" s="176"/>
      <c r="F6" s="186"/>
      <c r="G6" s="179">
        <v>0.32242199999999999</v>
      </c>
      <c r="H6" s="313">
        <v>7594</v>
      </c>
      <c r="I6" s="185">
        <f t="shared" si="0"/>
        <v>1916.626878</v>
      </c>
    </row>
    <row r="7" spans="1:9" x14ac:dyDescent="0.2">
      <c r="A7" s="207" t="s">
        <v>110</v>
      </c>
      <c r="B7" s="232" t="s">
        <v>240</v>
      </c>
      <c r="C7" s="232" t="s">
        <v>459</v>
      </c>
      <c r="D7" s="311">
        <v>104</v>
      </c>
      <c r="E7" s="176"/>
      <c r="F7" s="186"/>
      <c r="G7" s="179">
        <v>0.47042</v>
      </c>
      <c r="H7" s="313">
        <v>13085</v>
      </c>
      <c r="I7" s="185">
        <f t="shared" si="0"/>
        <v>3302.4838949999998</v>
      </c>
    </row>
    <row r="8" spans="1:9" x14ac:dyDescent="0.2">
      <c r="A8" s="207" t="s">
        <v>171</v>
      </c>
      <c r="B8" s="232" t="s">
        <v>239</v>
      </c>
      <c r="C8" s="232" t="s">
        <v>462</v>
      </c>
      <c r="D8" s="311">
        <f>62+32+26</f>
        <v>120</v>
      </c>
      <c r="E8" s="176"/>
      <c r="F8" s="186"/>
      <c r="G8" s="179">
        <v>0.48451499999999997</v>
      </c>
      <c r="H8" s="313">
        <v>15043</v>
      </c>
      <c r="I8" s="185">
        <f t="shared" si="0"/>
        <v>3796.6576409999998</v>
      </c>
    </row>
    <row r="9" spans="1:9" x14ac:dyDescent="0.2">
      <c r="A9" s="207" t="s">
        <v>186</v>
      </c>
      <c r="B9" s="232" t="s">
        <v>238</v>
      </c>
      <c r="C9" s="232" t="s">
        <v>464</v>
      </c>
      <c r="D9" s="311">
        <v>95</v>
      </c>
      <c r="E9" s="176"/>
      <c r="F9" s="186"/>
      <c r="G9" s="179">
        <v>7.5760999999999995E-2</v>
      </c>
      <c r="H9" s="313">
        <v>11555</v>
      </c>
      <c r="I9" s="185">
        <f t="shared" si="0"/>
        <v>2916.3317850000003</v>
      </c>
    </row>
    <row r="10" spans="1:9" x14ac:dyDescent="0.2">
      <c r="A10" s="207" t="s">
        <v>111</v>
      </c>
      <c r="B10" s="232" t="s">
        <v>241</v>
      </c>
      <c r="C10" s="232" t="s">
        <v>466</v>
      </c>
      <c r="D10" s="312">
        <f>26+29</f>
        <v>55</v>
      </c>
      <c r="E10" s="176"/>
      <c r="F10" s="186"/>
      <c r="G10" s="179">
        <v>0.37469200000000003</v>
      </c>
      <c r="H10" s="313">
        <v>8778</v>
      </c>
      <c r="I10" s="185">
        <f t="shared" si="0"/>
        <v>2215.453086</v>
      </c>
    </row>
    <row r="11" spans="1:9" x14ac:dyDescent="0.2">
      <c r="A11" s="207" t="s">
        <v>174</v>
      </c>
      <c r="B11" s="232" t="s">
        <v>244</v>
      </c>
      <c r="C11" s="232" t="s">
        <v>469</v>
      </c>
      <c r="D11" s="302">
        <f>12+12+12+12+12</f>
        <v>60</v>
      </c>
      <c r="E11" s="176"/>
      <c r="F11" s="186"/>
      <c r="G11" s="179">
        <v>0.28601100000000002</v>
      </c>
      <c r="H11" s="313">
        <v>9550</v>
      </c>
      <c r="I11" s="185">
        <f t="shared" si="0"/>
        <v>2410.29585</v>
      </c>
    </row>
    <row r="12" spans="1:9" x14ac:dyDescent="0.2">
      <c r="A12" s="207" t="s">
        <v>182</v>
      </c>
      <c r="B12" s="232" t="s">
        <v>248</v>
      </c>
      <c r="C12" s="232" t="s">
        <v>473</v>
      </c>
      <c r="D12" s="302">
        <f>36+36+36</f>
        <v>108</v>
      </c>
      <c r="E12" s="176"/>
      <c r="F12" s="186"/>
      <c r="G12" s="179"/>
      <c r="H12" s="313">
        <v>15362</v>
      </c>
      <c r="I12" s="185">
        <f t="shared" si="0"/>
        <v>3877.1690939999999</v>
      </c>
    </row>
    <row r="13" spans="1:9" x14ac:dyDescent="0.2">
      <c r="A13" s="207">
        <v>6118</v>
      </c>
      <c r="B13" s="232" t="s">
        <v>252</v>
      </c>
      <c r="C13" s="232" t="s">
        <v>477</v>
      </c>
      <c r="D13" s="302">
        <f>34+27+26+27+22</f>
        <v>136</v>
      </c>
      <c r="E13" s="176"/>
      <c r="F13" s="186"/>
      <c r="G13" s="179">
        <v>0.84980999999999995</v>
      </c>
      <c r="H13" s="313">
        <v>21875</v>
      </c>
      <c r="I13" s="185">
        <f t="shared" si="0"/>
        <v>5520.9656249999998</v>
      </c>
    </row>
    <row r="14" spans="1:9" x14ac:dyDescent="0.2">
      <c r="A14" s="207" t="s">
        <v>116</v>
      </c>
      <c r="B14" s="232" t="s">
        <v>256</v>
      </c>
      <c r="C14" s="232" t="s">
        <v>481</v>
      </c>
      <c r="D14" s="302">
        <f>36+35+36</f>
        <v>107</v>
      </c>
      <c r="E14" s="176"/>
      <c r="F14" s="186"/>
      <c r="G14" s="179">
        <v>0.70709900000000003</v>
      </c>
      <c r="H14" s="186">
        <v>15811</v>
      </c>
      <c r="I14" s="185">
        <f t="shared" si="0"/>
        <v>3990.4908569999998</v>
      </c>
    </row>
    <row r="15" spans="1:9" x14ac:dyDescent="0.2">
      <c r="A15" s="207" t="s">
        <v>187</v>
      </c>
      <c r="B15" s="232" t="s">
        <v>259</v>
      </c>
      <c r="C15" s="232" t="s">
        <v>425</v>
      </c>
      <c r="D15" s="302">
        <f>36+36+36</f>
        <v>108</v>
      </c>
      <c r="E15" s="176"/>
      <c r="F15" s="186"/>
      <c r="G15" s="179"/>
      <c r="H15" s="186">
        <v>15314</v>
      </c>
      <c r="I15" s="185">
        <f t="shared" si="0"/>
        <v>3865.0545180000004</v>
      </c>
    </row>
    <row r="16" spans="1:9" x14ac:dyDescent="0.2">
      <c r="A16" s="207" t="s">
        <v>134</v>
      </c>
      <c r="B16" s="232" t="s">
        <v>262</v>
      </c>
      <c r="C16" s="232" t="s">
        <v>391</v>
      </c>
      <c r="D16" s="302">
        <f>156+60</f>
        <v>216</v>
      </c>
      <c r="E16" s="176"/>
      <c r="F16" s="186"/>
      <c r="G16" s="179">
        <v>1.368976</v>
      </c>
      <c r="H16" s="186">
        <v>30803</v>
      </c>
      <c r="I16" s="185">
        <f t="shared" si="0"/>
        <v>7774.2767610000001</v>
      </c>
    </row>
    <row r="17" spans="1:9" x14ac:dyDescent="0.2">
      <c r="A17" s="207" t="s">
        <v>176</v>
      </c>
      <c r="B17" s="232" t="s">
        <v>264</v>
      </c>
      <c r="C17" s="232" t="s">
        <v>393</v>
      </c>
      <c r="D17" s="302">
        <f>60+60+55</f>
        <v>175</v>
      </c>
      <c r="E17" s="176"/>
      <c r="F17" s="186"/>
      <c r="G17" s="179"/>
      <c r="H17" s="186">
        <v>23695</v>
      </c>
      <c r="I17" s="185">
        <f t="shared" si="0"/>
        <v>5980.3099649999995</v>
      </c>
    </row>
    <row r="18" spans="1:9" x14ac:dyDescent="0.2">
      <c r="A18" s="207" t="s">
        <v>135</v>
      </c>
      <c r="B18" s="232" t="s">
        <v>266</v>
      </c>
      <c r="C18" s="232" t="s">
        <v>395</v>
      </c>
      <c r="D18" s="302">
        <f>90+60+60</f>
        <v>210</v>
      </c>
      <c r="E18" s="176"/>
      <c r="F18" s="186"/>
      <c r="G18" s="179">
        <v>0.51916600000000002</v>
      </c>
      <c r="H18" s="186">
        <v>27079</v>
      </c>
      <c r="I18" s="185">
        <f t="shared" si="0"/>
        <v>6834.387573</v>
      </c>
    </row>
    <row r="19" spans="1:9" x14ac:dyDescent="0.2">
      <c r="A19" s="207" t="s">
        <v>177</v>
      </c>
      <c r="B19" s="232" t="s">
        <v>270</v>
      </c>
      <c r="C19" s="232" t="s">
        <v>399</v>
      </c>
      <c r="D19" s="302">
        <f>60+60+60</f>
        <v>180</v>
      </c>
      <c r="E19" s="176"/>
      <c r="F19" s="186"/>
      <c r="G19" s="179"/>
      <c r="H19" s="186">
        <v>23250</v>
      </c>
      <c r="I19" s="185">
        <f t="shared" si="0"/>
        <v>5867.9977500000005</v>
      </c>
    </row>
    <row r="20" spans="1:9" x14ac:dyDescent="0.2">
      <c r="A20" s="207" t="s">
        <v>178</v>
      </c>
      <c r="B20" s="238" t="s">
        <v>272</v>
      </c>
      <c r="C20" s="238" t="s">
        <v>402</v>
      </c>
      <c r="D20" s="302">
        <f>60+60</f>
        <v>120</v>
      </c>
      <c r="E20" s="176"/>
      <c r="F20" s="186"/>
      <c r="G20" s="179"/>
      <c r="H20" s="186">
        <v>15400</v>
      </c>
      <c r="I20" s="185">
        <f t="shared" si="0"/>
        <v>3886.7597999999998</v>
      </c>
    </row>
    <row r="21" spans="1:9" x14ac:dyDescent="0.2">
      <c r="A21" s="207" t="s">
        <v>179</v>
      </c>
      <c r="B21" s="207">
        <v>216</v>
      </c>
      <c r="C21" s="207" t="s">
        <v>403</v>
      </c>
      <c r="D21" s="302">
        <f>90+30</f>
        <v>120</v>
      </c>
      <c r="E21" s="176"/>
      <c r="F21" s="186"/>
      <c r="G21" s="179"/>
      <c r="H21" s="186">
        <v>15500</v>
      </c>
      <c r="I21" s="185">
        <f t="shared" si="0"/>
        <v>3911.9985000000001</v>
      </c>
    </row>
    <row r="22" spans="1:9" x14ac:dyDescent="0.2">
      <c r="A22" s="207" t="s">
        <v>136</v>
      </c>
      <c r="B22" s="232" t="s">
        <v>274</v>
      </c>
      <c r="C22" s="232" t="s">
        <v>405</v>
      </c>
      <c r="D22" s="302">
        <f>55+55+60</f>
        <v>170</v>
      </c>
      <c r="E22" s="176"/>
      <c r="F22" s="186"/>
      <c r="G22" s="179">
        <v>0.89444400000000002</v>
      </c>
      <c r="H22" s="186">
        <v>23014</v>
      </c>
      <c r="I22" s="185">
        <f t="shared" si="0"/>
        <v>5808.4344179999998</v>
      </c>
    </row>
    <row r="23" spans="1:9" x14ac:dyDescent="0.2">
      <c r="A23" s="207" t="s">
        <v>137</v>
      </c>
      <c r="B23" s="232" t="s">
        <v>276</v>
      </c>
      <c r="C23" s="232" t="s">
        <v>408</v>
      </c>
      <c r="D23" s="302">
        <f>58+90+60</f>
        <v>208</v>
      </c>
      <c r="E23" s="176"/>
      <c r="F23" s="186"/>
      <c r="G23" s="179">
        <v>0.90149199999999996</v>
      </c>
      <c r="H23" s="186">
        <v>27285</v>
      </c>
      <c r="I23" s="185">
        <f t="shared" si="0"/>
        <v>6886.3792949999997</v>
      </c>
    </row>
    <row r="24" spans="1:9" x14ac:dyDescent="0.2">
      <c r="A24" s="207" t="s">
        <v>138</v>
      </c>
      <c r="B24" s="232" t="s">
        <v>282</v>
      </c>
      <c r="C24" s="232" t="s">
        <v>355</v>
      </c>
      <c r="D24" s="302">
        <f>59+29+20+20+20+18+20</f>
        <v>186</v>
      </c>
      <c r="E24" s="176"/>
      <c r="F24" s="186"/>
      <c r="G24" s="179">
        <v>1.028934</v>
      </c>
      <c r="H24" s="186">
        <v>28107</v>
      </c>
      <c r="I24" s="185">
        <f t="shared" si="0"/>
        <v>7093.8414089999997</v>
      </c>
    </row>
    <row r="25" spans="1:9" x14ac:dyDescent="0.2">
      <c r="A25" s="207" t="s">
        <v>139</v>
      </c>
      <c r="B25" s="232" t="s">
        <v>285</v>
      </c>
      <c r="C25" s="232" t="s">
        <v>363</v>
      </c>
      <c r="D25" s="302">
        <f>66+66+66</f>
        <v>198</v>
      </c>
      <c r="E25" s="176"/>
      <c r="F25" s="186"/>
      <c r="G25" s="179">
        <v>0.93555500000000003</v>
      </c>
      <c r="H25" s="186">
        <v>24242</v>
      </c>
      <c r="I25" s="185">
        <f t="shared" si="0"/>
        <v>6118.3656540000002</v>
      </c>
    </row>
    <row r="26" spans="1:9" x14ac:dyDescent="0.2">
      <c r="A26" s="207" t="s">
        <v>140</v>
      </c>
      <c r="B26" s="232" t="s">
        <v>293</v>
      </c>
      <c r="C26" s="232" t="s">
        <v>366</v>
      </c>
      <c r="D26" s="302">
        <f>60+30+60</f>
        <v>150</v>
      </c>
      <c r="E26" s="176"/>
      <c r="F26" s="186"/>
      <c r="G26" s="179">
        <v>0.68184500000000003</v>
      </c>
      <c r="H26" s="186">
        <v>20459</v>
      </c>
      <c r="I26" s="185">
        <f t="shared" si="0"/>
        <v>5163.5856330000006</v>
      </c>
    </row>
    <row r="27" spans="1:9" x14ac:dyDescent="0.2">
      <c r="A27" s="207" t="s">
        <v>141</v>
      </c>
      <c r="B27" s="232" t="s">
        <v>295</v>
      </c>
      <c r="C27" s="232" t="s">
        <v>371</v>
      </c>
      <c r="D27" s="302">
        <f>30+60+30+60</f>
        <v>180</v>
      </c>
      <c r="E27" s="176"/>
      <c r="F27" s="186"/>
      <c r="G27" s="179">
        <v>0.78990700000000003</v>
      </c>
      <c r="H27" s="186">
        <v>23573</v>
      </c>
      <c r="I27" s="185">
        <f t="shared" si="0"/>
        <v>5949.5187510000005</v>
      </c>
    </row>
    <row r="28" spans="1:9" x14ac:dyDescent="0.2">
      <c r="A28" s="207" t="s">
        <v>142</v>
      </c>
      <c r="B28" s="232" t="s">
        <v>297</v>
      </c>
      <c r="C28" s="232" t="s">
        <v>374</v>
      </c>
      <c r="D28" s="302">
        <f>66+66+66+60</f>
        <v>258</v>
      </c>
      <c r="E28" s="176"/>
      <c r="F28" s="186"/>
      <c r="G28" s="179">
        <v>1.2838179999999999</v>
      </c>
      <c r="H28" s="186">
        <v>31918</v>
      </c>
      <c r="I28" s="185">
        <f t="shared" si="0"/>
        <v>8055.6882660000001</v>
      </c>
    </row>
    <row r="29" spans="1:9" x14ac:dyDescent="0.2">
      <c r="A29" s="207" t="s">
        <v>143</v>
      </c>
      <c r="B29" s="232" t="s">
        <v>300</v>
      </c>
      <c r="C29" s="232" t="s">
        <v>379</v>
      </c>
      <c r="D29" s="302">
        <f>30+30+30+20+20+20+20+20+20</f>
        <v>210</v>
      </c>
      <c r="E29" s="176"/>
      <c r="F29" s="186"/>
      <c r="G29" s="179">
        <v>1.003681</v>
      </c>
      <c r="H29" s="186">
        <v>30243</v>
      </c>
      <c r="I29" s="185">
        <f t="shared" si="0"/>
        <v>7632.9400409999998</v>
      </c>
    </row>
    <row r="30" spans="1:9" x14ac:dyDescent="0.2">
      <c r="A30" s="207" t="s">
        <v>172</v>
      </c>
      <c r="B30" s="207" t="s">
        <v>308</v>
      </c>
      <c r="C30" s="232" t="s">
        <v>387</v>
      </c>
      <c r="D30" s="302">
        <v>151</v>
      </c>
      <c r="E30" s="176"/>
      <c r="F30" s="186"/>
      <c r="G30" s="179">
        <v>0.78990700000000003</v>
      </c>
      <c r="H30" s="186">
        <v>20213</v>
      </c>
      <c r="I30" s="185">
        <f t="shared" si="0"/>
        <v>5101.498431</v>
      </c>
    </row>
    <row r="31" spans="1:9" x14ac:dyDescent="0.2">
      <c r="A31" s="207" t="s">
        <v>144</v>
      </c>
      <c r="B31" s="207">
        <v>287</v>
      </c>
      <c r="C31" s="207" t="s">
        <v>389</v>
      </c>
      <c r="D31" s="302">
        <v>30</v>
      </c>
      <c r="E31" s="176"/>
      <c r="F31" s="186"/>
      <c r="G31" s="179"/>
      <c r="H31" s="186">
        <v>3875</v>
      </c>
      <c r="I31" s="185">
        <f t="shared" si="0"/>
        <v>977.99962500000004</v>
      </c>
    </row>
    <row r="32" spans="1:9" x14ac:dyDescent="0.2">
      <c r="A32" s="207" t="s">
        <v>112</v>
      </c>
      <c r="B32" s="207">
        <v>152</v>
      </c>
      <c r="C32" s="232" t="s">
        <v>418</v>
      </c>
      <c r="D32" s="302">
        <v>74</v>
      </c>
      <c r="E32" s="176"/>
      <c r="F32" s="186"/>
      <c r="G32" s="179">
        <v>0.385851</v>
      </c>
      <c r="H32" s="186">
        <v>10575</v>
      </c>
      <c r="I32" s="185">
        <f t="shared" si="0"/>
        <v>2668.9925250000001</v>
      </c>
    </row>
    <row r="33" spans="1:9" x14ac:dyDescent="0.2">
      <c r="A33" s="207" t="s">
        <v>113</v>
      </c>
      <c r="B33" s="207">
        <v>153</v>
      </c>
      <c r="C33" s="232" t="s">
        <v>445</v>
      </c>
      <c r="D33" s="302">
        <v>17</v>
      </c>
      <c r="E33" s="176"/>
      <c r="F33" s="186"/>
      <c r="G33" s="179">
        <v>9.8665000000000003E-2</v>
      </c>
      <c r="H33" s="186">
        <v>1934</v>
      </c>
      <c r="I33" s="185">
        <f t="shared" si="0"/>
        <v>488.11645799999997</v>
      </c>
    </row>
    <row r="34" spans="1:9" x14ac:dyDescent="0.2">
      <c r="A34" s="207" t="s">
        <v>114</v>
      </c>
      <c r="B34" s="207">
        <v>154</v>
      </c>
      <c r="C34" s="232" t="s">
        <v>419</v>
      </c>
      <c r="D34" s="302">
        <v>58</v>
      </c>
      <c r="E34" s="176"/>
      <c r="F34" s="186"/>
      <c r="G34" s="179">
        <v>0.20555200000000001</v>
      </c>
      <c r="H34" s="186">
        <v>6744</v>
      </c>
      <c r="I34" s="185">
        <f t="shared" si="0"/>
        <v>1702.0979280000001</v>
      </c>
    </row>
    <row r="35" spans="1:9" x14ac:dyDescent="0.2">
      <c r="A35" s="207" t="s">
        <v>115</v>
      </c>
      <c r="B35" s="207">
        <v>156</v>
      </c>
      <c r="C35" s="232" t="s">
        <v>421</v>
      </c>
      <c r="D35" s="302">
        <v>60</v>
      </c>
      <c r="E35" s="176"/>
      <c r="F35" s="186"/>
      <c r="G35" s="179">
        <v>0.202103</v>
      </c>
      <c r="H35" s="186">
        <v>6744</v>
      </c>
      <c r="I35" s="185">
        <f t="shared" si="0"/>
        <v>1702.0979280000001</v>
      </c>
    </row>
    <row r="36" spans="1:9" x14ac:dyDescent="0.2">
      <c r="A36" s="207" t="s">
        <v>117</v>
      </c>
      <c r="B36" s="207">
        <v>161</v>
      </c>
      <c r="C36" s="232" t="s">
        <v>422</v>
      </c>
      <c r="D36" s="302">
        <v>36</v>
      </c>
      <c r="E36" s="176"/>
      <c r="F36" s="186"/>
      <c r="G36" s="179">
        <v>0.18852099999999999</v>
      </c>
      <c r="H36" s="186">
        <v>5124</v>
      </c>
      <c r="I36" s="185">
        <f t="shared" ref="I36:I64" si="1">H36*252.387/1000</f>
        <v>1293.2309879999998</v>
      </c>
    </row>
    <row r="37" spans="1:9" x14ac:dyDescent="0.2">
      <c r="A37" s="207" t="s">
        <v>118</v>
      </c>
      <c r="B37" s="207">
        <v>165</v>
      </c>
      <c r="C37" s="232" t="s">
        <v>423</v>
      </c>
      <c r="D37" s="302">
        <v>77</v>
      </c>
      <c r="E37" s="176"/>
      <c r="F37" s="186"/>
      <c r="G37" s="179">
        <v>0.29482000000000003</v>
      </c>
      <c r="H37" s="186">
        <v>8382</v>
      </c>
      <c r="I37" s="185">
        <f t="shared" si="1"/>
        <v>2115.507834</v>
      </c>
    </row>
    <row r="38" spans="1:9" x14ac:dyDescent="0.2">
      <c r="A38" s="207" t="s">
        <v>119</v>
      </c>
      <c r="B38" s="207">
        <v>166</v>
      </c>
      <c r="C38" s="232" t="s">
        <v>427</v>
      </c>
      <c r="D38" s="302">
        <v>76</v>
      </c>
      <c r="E38" s="176"/>
      <c r="F38" s="186"/>
      <c r="G38" s="179">
        <v>0.34004099999999998</v>
      </c>
      <c r="H38" s="186">
        <v>8425</v>
      </c>
      <c r="I38" s="185">
        <f t="shared" si="1"/>
        <v>2126.360475</v>
      </c>
    </row>
    <row r="39" spans="1:9" x14ac:dyDescent="0.2">
      <c r="A39" s="207" t="s">
        <v>120</v>
      </c>
      <c r="B39" s="207">
        <v>167</v>
      </c>
      <c r="C39" s="232" t="s">
        <v>428</v>
      </c>
      <c r="D39" s="302">
        <v>75</v>
      </c>
      <c r="E39" s="176"/>
      <c r="F39" s="186"/>
      <c r="G39" s="179">
        <v>0.32242199999999999</v>
      </c>
      <c r="H39" s="186">
        <v>8312</v>
      </c>
      <c r="I39" s="185">
        <f t="shared" si="1"/>
        <v>2097.8407440000001</v>
      </c>
    </row>
    <row r="40" spans="1:9" x14ac:dyDescent="0.2">
      <c r="A40" s="207" t="s">
        <v>121</v>
      </c>
      <c r="B40" s="207">
        <v>168</v>
      </c>
      <c r="C40" s="232" t="s">
        <v>429</v>
      </c>
      <c r="D40" s="302">
        <v>103</v>
      </c>
      <c r="E40" s="176"/>
      <c r="F40" s="186"/>
      <c r="G40" s="179">
        <v>0.45397599999999999</v>
      </c>
      <c r="H40" s="186">
        <v>14143</v>
      </c>
      <c r="I40" s="185">
        <f t="shared" si="1"/>
        <v>3569.5093409999999</v>
      </c>
    </row>
    <row r="41" spans="1:9" x14ac:dyDescent="0.2">
      <c r="A41" s="207">
        <v>6094</v>
      </c>
      <c r="B41" s="207">
        <v>169</v>
      </c>
      <c r="C41" s="232" t="s">
        <v>437</v>
      </c>
      <c r="D41" s="302">
        <v>20</v>
      </c>
      <c r="E41" s="176"/>
      <c r="F41" s="186"/>
      <c r="G41" s="179"/>
      <c r="H41" s="186">
        <v>2300</v>
      </c>
      <c r="I41" s="185">
        <f t="shared" si="1"/>
        <v>580.49009999999998</v>
      </c>
    </row>
    <row r="42" spans="1:9" x14ac:dyDescent="0.2">
      <c r="A42" s="207" t="s">
        <v>122</v>
      </c>
      <c r="B42" s="207">
        <v>171</v>
      </c>
      <c r="C42" s="232" t="s">
        <v>430</v>
      </c>
      <c r="D42" s="302">
        <v>20</v>
      </c>
      <c r="E42" s="176"/>
      <c r="F42" s="186"/>
      <c r="G42" s="179">
        <v>8.9268E-2</v>
      </c>
      <c r="H42" s="186">
        <v>2240</v>
      </c>
      <c r="I42" s="185">
        <f t="shared" si="1"/>
        <v>565.34688000000006</v>
      </c>
    </row>
    <row r="43" spans="1:9" x14ac:dyDescent="0.2">
      <c r="A43" s="207" t="s">
        <v>123</v>
      </c>
      <c r="B43" s="207">
        <v>172</v>
      </c>
      <c r="C43" s="232" t="s">
        <v>431</v>
      </c>
      <c r="D43" s="302">
        <v>20</v>
      </c>
      <c r="E43" s="176"/>
      <c r="F43" s="186"/>
      <c r="G43" s="179">
        <v>0.105125</v>
      </c>
      <c r="H43" s="186">
        <v>2240</v>
      </c>
      <c r="I43" s="185">
        <f t="shared" si="1"/>
        <v>565.34688000000006</v>
      </c>
    </row>
    <row r="44" spans="1:9" x14ac:dyDescent="0.2">
      <c r="A44" s="207" t="s">
        <v>124</v>
      </c>
      <c r="B44" s="207">
        <v>188</v>
      </c>
      <c r="C44" s="232" t="s">
        <v>432</v>
      </c>
      <c r="D44" s="302">
        <v>17</v>
      </c>
      <c r="E44" s="176"/>
      <c r="F44" s="186"/>
      <c r="G44" s="179">
        <v>8.9269000000000001E-2</v>
      </c>
      <c r="H44" s="186">
        <v>1942</v>
      </c>
      <c r="I44" s="185">
        <f t="shared" si="1"/>
        <v>490.13555400000001</v>
      </c>
    </row>
    <row r="45" spans="1:9" x14ac:dyDescent="0.2">
      <c r="A45" s="207" t="s">
        <v>125</v>
      </c>
      <c r="B45" s="207">
        <v>189</v>
      </c>
      <c r="C45" s="232" t="s">
        <v>433</v>
      </c>
      <c r="D45" s="302">
        <v>17</v>
      </c>
      <c r="E45" s="176"/>
      <c r="F45" s="186"/>
      <c r="G45" s="179">
        <v>8.8680999999999996E-2</v>
      </c>
      <c r="H45" s="186">
        <v>1885</v>
      </c>
      <c r="I45" s="185">
        <f t="shared" si="1"/>
        <v>475.74949499999997</v>
      </c>
    </row>
    <row r="46" spans="1:9" x14ac:dyDescent="0.2">
      <c r="A46" s="207" t="s">
        <v>126</v>
      </c>
      <c r="B46" s="207">
        <v>191</v>
      </c>
      <c r="C46" s="232" t="s">
        <v>434</v>
      </c>
      <c r="D46" s="303">
        <v>17</v>
      </c>
      <c r="E46" s="176"/>
      <c r="F46" s="186"/>
      <c r="G46" s="179">
        <v>6.0490000000000002E-2</v>
      </c>
      <c r="H46" s="186">
        <v>1932</v>
      </c>
      <c r="I46" s="185">
        <f t="shared" si="1"/>
        <v>487.61168400000003</v>
      </c>
    </row>
    <row r="47" spans="1:9" x14ac:dyDescent="0.2">
      <c r="A47" s="207" t="s">
        <v>127</v>
      </c>
      <c r="B47" s="207">
        <v>192</v>
      </c>
      <c r="C47" s="232" t="s">
        <v>435</v>
      </c>
      <c r="D47" s="302">
        <v>17</v>
      </c>
      <c r="E47" s="176"/>
      <c r="F47" s="186"/>
      <c r="G47" s="179">
        <v>9.2204999999999995E-2</v>
      </c>
      <c r="H47" s="186">
        <v>1885</v>
      </c>
      <c r="I47" s="185">
        <f t="shared" si="1"/>
        <v>475.74949499999997</v>
      </c>
    </row>
    <row r="48" spans="1:9" x14ac:dyDescent="0.2">
      <c r="A48" s="207" t="s">
        <v>128</v>
      </c>
      <c r="B48" s="207">
        <v>193</v>
      </c>
      <c r="C48" s="232" t="s">
        <v>436</v>
      </c>
      <c r="D48" s="302">
        <v>17</v>
      </c>
      <c r="E48" s="176"/>
      <c r="F48" s="186"/>
      <c r="G48" s="179">
        <v>7.5760999999999995E-2</v>
      </c>
      <c r="H48" s="186">
        <v>1932</v>
      </c>
      <c r="I48" s="185">
        <f t="shared" si="1"/>
        <v>487.61168400000003</v>
      </c>
    </row>
    <row r="49" spans="1:11" x14ac:dyDescent="0.2">
      <c r="A49" s="207">
        <v>6069</v>
      </c>
      <c r="B49" s="207">
        <v>145</v>
      </c>
      <c r="C49" s="232" t="s">
        <v>483</v>
      </c>
      <c r="D49" s="302">
        <v>22</v>
      </c>
      <c r="E49" s="176"/>
      <c r="F49" s="186"/>
      <c r="G49" s="179"/>
      <c r="H49" s="313">
        <v>3785</v>
      </c>
      <c r="I49" s="185">
        <f t="shared" si="1"/>
        <v>955.28479500000003</v>
      </c>
    </row>
    <row r="50" spans="1:11" x14ac:dyDescent="0.2">
      <c r="A50" s="207" t="s">
        <v>146</v>
      </c>
      <c r="B50" s="207">
        <v>146</v>
      </c>
      <c r="C50" s="232" t="s">
        <v>438</v>
      </c>
      <c r="D50" s="302">
        <v>40</v>
      </c>
      <c r="E50" s="176"/>
      <c r="F50" s="186"/>
      <c r="G50" s="179">
        <v>0.189108</v>
      </c>
      <c r="H50" s="313">
        <v>6379</v>
      </c>
      <c r="I50" s="185">
        <f t="shared" si="1"/>
        <v>1609.9766729999999</v>
      </c>
    </row>
    <row r="51" spans="1:11" x14ac:dyDescent="0.2">
      <c r="A51" s="207" t="s">
        <v>158</v>
      </c>
      <c r="B51" s="207">
        <v>155</v>
      </c>
      <c r="C51" s="232" t="s">
        <v>420</v>
      </c>
      <c r="D51" s="302">
        <v>46</v>
      </c>
      <c r="E51" s="176"/>
      <c r="F51" s="186"/>
      <c r="G51" s="179">
        <v>0.152696</v>
      </c>
      <c r="H51" s="313">
        <v>6728</v>
      </c>
      <c r="I51" s="185">
        <f t="shared" si="1"/>
        <v>1698.0597359999999</v>
      </c>
    </row>
    <row r="52" spans="1:11" x14ac:dyDescent="0.2">
      <c r="A52" s="207" t="s">
        <v>188</v>
      </c>
      <c r="B52" s="207">
        <v>151</v>
      </c>
      <c r="C52" s="232" t="s">
        <v>439</v>
      </c>
      <c r="D52" s="302">
        <v>48</v>
      </c>
      <c r="E52" s="176"/>
      <c r="F52" s="186"/>
      <c r="G52" s="179"/>
      <c r="H52" s="313">
        <v>5319</v>
      </c>
      <c r="I52" s="185">
        <f t="shared" si="1"/>
        <v>1342.446453</v>
      </c>
    </row>
    <row r="53" spans="1:11" x14ac:dyDescent="0.2">
      <c r="A53" s="207" t="s">
        <v>189</v>
      </c>
      <c r="B53" s="207">
        <v>148</v>
      </c>
      <c r="C53" s="232" t="s">
        <v>440</v>
      </c>
      <c r="D53" s="302">
        <v>48</v>
      </c>
      <c r="E53" s="176"/>
      <c r="F53" s="186"/>
      <c r="G53" s="179"/>
      <c r="H53" s="313">
        <v>5319</v>
      </c>
      <c r="I53" s="185">
        <f t="shared" si="1"/>
        <v>1342.446453</v>
      </c>
    </row>
    <row r="54" spans="1:11" x14ac:dyDescent="0.2">
      <c r="A54" s="207" t="s">
        <v>190</v>
      </c>
      <c r="B54" s="207">
        <v>147</v>
      </c>
      <c r="C54" s="232" t="s">
        <v>441</v>
      </c>
      <c r="D54" s="302">
        <v>47</v>
      </c>
      <c r="E54" s="176"/>
      <c r="F54" s="186"/>
      <c r="G54" s="179"/>
      <c r="H54" s="313">
        <v>5408</v>
      </c>
      <c r="I54" s="185">
        <f t="shared" si="1"/>
        <v>1364.9088959999999</v>
      </c>
    </row>
    <row r="55" spans="1:11" x14ac:dyDescent="0.2">
      <c r="A55" s="207" t="s">
        <v>191</v>
      </c>
      <c r="B55" s="207">
        <v>137</v>
      </c>
      <c r="C55" s="232" t="s">
        <v>442</v>
      </c>
      <c r="D55" s="302">
        <v>48</v>
      </c>
      <c r="E55" s="176"/>
      <c r="F55" s="186"/>
      <c r="G55" s="179"/>
      <c r="H55" s="313">
        <v>5439</v>
      </c>
      <c r="I55" s="185">
        <f t="shared" si="1"/>
        <v>1372.7328929999999</v>
      </c>
    </row>
    <row r="56" spans="1:11" x14ac:dyDescent="0.2">
      <c r="A56" s="207" t="s">
        <v>192</v>
      </c>
      <c r="B56" s="207" t="s">
        <v>486</v>
      </c>
      <c r="C56" s="232" t="s">
        <v>443</v>
      </c>
      <c r="D56" s="302">
        <v>48</v>
      </c>
      <c r="E56" s="176"/>
      <c r="F56" s="186"/>
      <c r="G56" s="179"/>
      <c r="H56" s="313">
        <v>5439</v>
      </c>
      <c r="I56" s="185">
        <f t="shared" si="1"/>
        <v>1372.7328929999999</v>
      </c>
    </row>
    <row r="57" spans="1:11" x14ac:dyDescent="0.2">
      <c r="A57" s="207" t="s">
        <v>193</v>
      </c>
      <c r="B57" s="207">
        <v>149</v>
      </c>
      <c r="C57" s="232" t="s">
        <v>444</v>
      </c>
      <c r="D57" s="302">
        <v>48</v>
      </c>
      <c r="E57" s="176"/>
      <c r="F57" s="186"/>
      <c r="G57" s="179"/>
      <c r="H57" s="313">
        <v>5319</v>
      </c>
      <c r="I57" s="185">
        <f t="shared" si="1"/>
        <v>1342.446453</v>
      </c>
    </row>
    <row r="58" spans="1:11" x14ac:dyDescent="0.2">
      <c r="A58" s="207">
        <v>6046</v>
      </c>
      <c r="B58" s="207" t="s">
        <v>202</v>
      </c>
      <c r="C58" s="232" t="s">
        <v>411</v>
      </c>
      <c r="D58" s="302">
        <f>29+54</f>
        <v>83</v>
      </c>
      <c r="E58" s="176"/>
      <c r="F58" s="186"/>
      <c r="G58" s="179">
        <v>0.47864200000000001</v>
      </c>
      <c r="H58" s="313">
        <v>11897</v>
      </c>
      <c r="I58" s="185">
        <f t="shared" si="1"/>
        <v>3002.6481389999999</v>
      </c>
    </row>
    <row r="59" spans="1:11" x14ac:dyDescent="0.2">
      <c r="A59" s="207">
        <v>6047</v>
      </c>
      <c r="B59" s="207" t="s">
        <v>203</v>
      </c>
      <c r="C59" s="232" t="s">
        <v>413</v>
      </c>
      <c r="D59" s="302">
        <f>29+54</f>
        <v>83</v>
      </c>
      <c r="E59" s="176"/>
      <c r="F59" s="186"/>
      <c r="G59" s="179">
        <v>0.476881</v>
      </c>
      <c r="H59" s="313">
        <v>11693</v>
      </c>
      <c r="I59" s="185">
        <f t="shared" si="1"/>
        <v>2951.1611910000001</v>
      </c>
    </row>
    <row r="60" spans="1:11" x14ac:dyDescent="0.2">
      <c r="A60" s="207">
        <v>6048</v>
      </c>
      <c r="B60" s="207" t="s">
        <v>205</v>
      </c>
      <c r="C60" s="232" t="s">
        <v>416</v>
      </c>
      <c r="D60" s="302">
        <f>27+29+53</f>
        <v>109</v>
      </c>
      <c r="E60" s="176"/>
      <c r="F60" s="186"/>
      <c r="G60" s="179">
        <v>0.59786300000000003</v>
      </c>
      <c r="H60" s="313">
        <v>14999</v>
      </c>
      <c r="I60" s="185">
        <f t="shared" si="1"/>
        <v>3785.5526129999998</v>
      </c>
    </row>
    <row r="61" spans="1:11" x14ac:dyDescent="0.2">
      <c r="A61" s="328">
        <v>6103</v>
      </c>
      <c r="B61" s="328" t="s">
        <v>493</v>
      </c>
      <c r="C61" s="329" t="s">
        <v>492</v>
      </c>
      <c r="D61" s="330">
        <v>45</v>
      </c>
      <c r="E61" s="331"/>
      <c r="F61" s="332"/>
      <c r="G61" s="333"/>
      <c r="H61" s="334">
        <v>7164</v>
      </c>
      <c r="I61" s="335">
        <f t="shared" si="1"/>
        <v>1808.1004680000001</v>
      </c>
    </row>
    <row r="62" spans="1:11" x14ac:dyDescent="0.2">
      <c r="A62" s="207"/>
      <c r="B62" s="336" t="s">
        <v>498</v>
      </c>
      <c r="C62" s="238" t="s">
        <v>499</v>
      </c>
      <c r="D62" s="302">
        <v>24</v>
      </c>
      <c r="E62" s="314"/>
      <c r="F62" s="186"/>
      <c r="G62" s="179"/>
      <c r="H62" s="313">
        <v>4061</v>
      </c>
      <c r="I62" s="319">
        <f t="shared" si="1"/>
        <v>1024.9436069999999</v>
      </c>
      <c r="K62" s="382"/>
    </row>
    <row r="63" spans="1:11" x14ac:dyDescent="0.2">
      <c r="A63" s="367"/>
      <c r="B63" s="367" t="s">
        <v>515</v>
      </c>
      <c r="C63" s="367" t="s">
        <v>516</v>
      </c>
      <c r="D63" s="369">
        <v>31</v>
      </c>
      <c r="E63" s="368"/>
      <c r="F63" s="368"/>
      <c r="G63" s="368"/>
      <c r="H63" s="186">
        <v>4851</v>
      </c>
      <c r="I63" s="319">
        <f t="shared" si="1"/>
        <v>1224.3293370000001</v>
      </c>
      <c r="K63" s="382"/>
    </row>
    <row r="64" spans="1:11" x14ac:dyDescent="0.2">
      <c r="A64" s="367"/>
      <c r="B64" s="367" t="s">
        <v>528</v>
      </c>
      <c r="C64" s="367" t="s">
        <v>531</v>
      </c>
      <c r="D64" s="401" t="s">
        <v>530</v>
      </c>
      <c r="E64" s="305"/>
      <c r="F64" s="402"/>
      <c r="G64" s="305"/>
      <c r="H64" s="369">
        <v>4424</v>
      </c>
      <c r="I64" s="403">
        <f t="shared" si="1"/>
        <v>1116.560088</v>
      </c>
    </row>
    <row r="65" spans="8:8" x14ac:dyDescent="0.2">
      <c r="H65" s="253"/>
    </row>
  </sheetData>
  <autoFilter ref="A3:I63" xr:uid="{00000000-0009-0000-0000-000007000000}"/>
  <mergeCells count="2">
    <mergeCell ref="A1:I1"/>
    <mergeCell ref="A2:I2"/>
  </mergeCells>
  <phoneticPr fontId="6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78" orientation="portrait" horizontalDpi="300" verticalDpi="300" r:id="rId1"/>
  <headerFooter alignWithMargins="0">
    <oddFooter>&amp;R&amp;P/&amp;N oldal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08"/>
  <sheetViews>
    <sheetView view="pageBreakPreview" workbookViewId="0">
      <pane ySplit="3" topLeftCell="A19" activePane="bottomLeft" state="frozen"/>
      <selection pane="bottomLeft" activeCell="F31" sqref="F31"/>
    </sheetView>
  </sheetViews>
  <sheetFormatPr defaultRowHeight="12.75" x14ac:dyDescent="0.2"/>
  <cols>
    <col min="1" max="1" width="13.7109375" style="40" customWidth="1"/>
    <col min="2" max="2" width="13" style="41" customWidth="1"/>
    <col min="3" max="3" width="13" style="42" customWidth="1"/>
    <col min="4" max="4" width="15.42578125" style="42" customWidth="1"/>
    <col min="5" max="5" width="15.28515625" style="39" customWidth="1"/>
    <col min="6" max="6" width="12.140625" style="116" customWidth="1"/>
    <col min="7" max="7" width="14.42578125" style="39" customWidth="1"/>
    <col min="8" max="16384" width="9.140625" style="39"/>
  </cols>
  <sheetData>
    <row r="1" spans="1:7" ht="43.5" customHeight="1" x14ac:dyDescent="0.2">
      <c r="A1" s="417" t="s">
        <v>109</v>
      </c>
      <c r="B1" s="417"/>
      <c r="C1" s="417"/>
      <c r="D1" s="417"/>
      <c r="E1" s="417"/>
      <c r="F1" s="417"/>
      <c r="G1" s="417"/>
    </row>
    <row r="2" spans="1:7" s="60" customFormat="1" ht="23.25" customHeight="1" thickBot="1" x14ac:dyDescent="0.25">
      <c r="A2" s="419" t="s">
        <v>525</v>
      </c>
      <c r="B2" s="432"/>
      <c r="C2" s="432"/>
      <c r="D2" s="432"/>
      <c r="E2" s="432"/>
      <c r="F2" s="432"/>
      <c r="G2" s="432"/>
    </row>
    <row r="3" spans="1:7" s="92" customFormat="1" ht="75.75" customHeight="1" thickBot="1" x14ac:dyDescent="0.25">
      <c r="A3" s="90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109" t="s">
        <v>322</v>
      </c>
      <c r="G3" s="191" t="s">
        <v>220</v>
      </c>
    </row>
    <row r="4" spans="1:7" ht="15" customHeight="1" x14ac:dyDescent="0.2">
      <c r="A4" s="51">
        <v>6009</v>
      </c>
      <c r="B4" s="315">
        <v>104</v>
      </c>
      <c r="C4" s="103"/>
      <c r="D4" s="103"/>
      <c r="E4" s="43">
        <v>0.47042</v>
      </c>
      <c r="F4" s="113">
        <v>13085</v>
      </c>
      <c r="G4" s="185">
        <f t="shared" ref="G4:G40" si="0">F4*2842.013/1000</f>
        <v>37187.740104999997</v>
      </c>
    </row>
    <row r="5" spans="1:7" ht="15" customHeight="1" x14ac:dyDescent="0.2">
      <c r="A5" s="44" t="s">
        <v>111</v>
      </c>
      <c r="B5" s="302">
        <v>55</v>
      </c>
      <c r="C5" s="45"/>
      <c r="D5" s="45"/>
      <c r="E5" s="46">
        <v>0.37469200000000003</v>
      </c>
      <c r="F5" s="114">
        <v>8778</v>
      </c>
      <c r="G5" s="185">
        <f t="shared" si="0"/>
        <v>24947.190114000001</v>
      </c>
    </row>
    <row r="6" spans="1:7" ht="15" customHeight="1" x14ac:dyDescent="0.2">
      <c r="A6" s="44" t="s">
        <v>112</v>
      </c>
      <c r="B6" s="174">
        <v>74</v>
      </c>
      <c r="C6" s="45"/>
      <c r="D6" s="45"/>
      <c r="E6" s="46">
        <v>0.385851</v>
      </c>
      <c r="F6" s="114">
        <v>10575</v>
      </c>
      <c r="G6" s="185">
        <f t="shared" si="0"/>
        <v>30054.287474999997</v>
      </c>
    </row>
    <row r="7" spans="1:7" ht="15" customHeight="1" x14ac:dyDescent="0.2">
      <c r="A7" s="44" t="s">
        <v>113</v>
      </c>
      <c r="B7" s="174">
        <v>17</v>
      </c>
      <c r="C7" s="45"/>
      <c r="D7" s="45"/>
      <c r="E7" s="46">
        <v>9.8665000000000003E-2</v>
      </c>
      <c r="F7" s="114">
        <v>1934</v>
      </c>
      <c r="G7" s="185">
        <f t="shared" si="0"/>
        <v>5496.4531420000003</v>
      </c>
    </row>
    <row r="8" spans="1:7" ht="15" customHeight="1" x14ac:dyDescent="0.2">
      <c r="A8" s="44" t="s">
        <v>114</v>
      </c>
      <c r="B8" s="174">
        <v>58</v>
      </c>
      <c r="C8" s="45"/>
      <c r="D8" s="45"/>
      <c r="E8" s="46">
        <v>0.20555200000000001</v>
      </c>
      <c r="F8" s="114">
        <v>6744</v>
      </c>
      <c r="G8" s="185">
        <f t="shared" si="0"/>
        <v>19166.535671999998</v>
      </c>
    </row>
    <row r="9" spans="1:7" ht="15" customHeight="1" x14ac:dyDescent="0.2">
      <c r="A9" s="44" t="s">
        <v>115</v>
      </c>
      <c r="B9" s="174">
        <v>60</v>
      </c>
      <c r="C9" s="45"/>
      <c r="D9" s="45"/>
      <c r="E9" s="46">
        <v>0.2021028</v>
      </c>
      <c r="F9" s="114">
        <v>6744</v>
      </c>
      <c r="G9" s="185">
        <f t="shared" si="0"/>
        <v>19166.535671999998</v>
      </c>
    </row>
    <row r="10" spans="1:7" ht="15" customHeight="1" x14ac:dyDescent="0.2">
      <c r="A10" s="44" t="s">
        <v>116</v>
      </c>
      <c r="B10" s="174">
        <v>107</v>
      </c>
      <c r="C10" s="45"/>
      <c r="D10" s="45"/>
      <c r="E10" s="46">
        <v>0.70709900000000003</v>
      </c>
      <c r="F10" s="114">
        <v>15811</v>
      </c>
      <c r="G10" s="185">
        <f t="shared" si="0"/>
        <v>44935.067542999997</v>
      </c>
    </row>
    <row r="11" spans="1:7" ht="15" customHeight="1" x14ac:dyDescent="0.2">
      <c r="A11" s="44" t="s">
        <v>117</v>
      </c>
      <c r="B11" s="174">
        <v>36</v>
      </c>
      <c r="C11" s="45"/>
      <c r="D11" s="45"/>
      <c r="E11" s="46">
        <v>0.18852099999999999</v>
      </c>
      <c r="F11" s="114">
        <v>5124</v>
      </c>
      <c r="G11" s="185">
        <f t="shared" si="0"/>
        <v>14562.474612</v>
      </c>
    </row>
    <row r="12" spans="1:7" ht="15" customHeight="1" x14ac:dyDescent="0.2">
      <c r="A12" s="44" t="s">
        <v>118</v>
      </c>
      <c r="B12" s="174">
        <v>77</v>
      </c>
      <c r="C12" s="45"/>
      <c r="D12" s="45"/>
      <c r="E12" s="46">
        <v>0.29482000000000003</v>
      </c>
      <c r="F12" s="114">
        <v>8382</v>
      </c>
      <c r="G12" s="185">
        <f t="shared" si="0"/>
        <v>23821.752965999996</v>
      </c>
    </row>
    <row r="13" spans="1:7" ht="15" customHeight="1" x14ac:dyDescent="0.2">
      <c r="A13" s="44" t="s">
        <v>119</v>
      </c>
      <c r="B13" s="174">
        <v>76</v>
      </c>
      <c r="C13" s="45"/>
      <c r="D13" s="45"/>
      <c r="E13" s="46">
        <v>0.34004099999999998</v>
      </c>
      <c r="F13" s="114">
        <v>8425</v>
      </c>
      <c r="G13" s="185">
        <f t="shared" si="0"/>
        <v>23943.959524999998</v>
      </c>
    </row>
    <row r="14" spans="1:7" ht="15" customHeight="1" x14ac:dyDescent="0.2">
      <c r="A14" s="44" t="s">
        <v>120</v>
      </c>
      <c r="B14" s="174">
        <v>75</v>
      </c>
      <c r="C14" s="45"/>
      <c r="D14" s="45"/>
      <c r="E14" s="46">
        <v>0.32242199999999999</v>
      </c>
      <c r="F14" s="114">
        <v>8312</v>
      </c>
      <c r="G14" s="185">
        <f t="shared" si="0"/>
        <v>23622.812055999999</v>
      </c>
    </row>
    <row r="15" spans="1:7" ht="15" customHeight="1" x14ac:dyDescent="0.2">
      <c r="A15" s="44" t="s">
        <v>121</v>
      </c>
      <c r="B15" s="174">
        <v>103</v>
      </c>
      <c r="C15" s="45"/>
      <c r="D15" s="45"/>
      <c r="E15" s="46">
        <v>0.45397599999999999</v>
      </c>
      <c r="F15" s="115">
        <v>14143</v>
      </c>
      <c r="G15" s="185">
        <f t="shared" si="0"/>
        <v>40194.589859</v>
      </c>
    </row>
    <row r="16" spans="1:7" ht="15" customHeight="1" x14ac:dyDescent="0.2">
      <c r="A16" s="44" t="s">
        <v>122</v>
      </c>
      <c r="B16" s="174">
        <v>20</v>
      </c>
      <c r="C16" s="45"/>
      <c r="D16" s="45"/>
      <c r="E16" s="46">
        <v>8.9268E-2</v>
      </c>
      <c r="F16" s="115">
        <v>2240</v>
      </c>
      <c r="G16" s="185">
        <f t="shared" si="0"/>
        <v>6366.1091200000001</v>
      </c>
    </row>
    <row r="17" spans="1:7" ht="15" customHeight="1" x14ac:dyDescent="0.2">
      <c r="A17" s="44" t="s">
        <v>123</v>
      </c>
      <c r="B17" s="174">
        <v>20</v>
      </c>
      <c r="C17" s="45"/>
      <c r="D17" s="45"/>
      <c r="E17" s="46">
        <v>0.105125</v>
      </c>
      <c r="F17" s="114">
        <v>2240</v>
      </c>
      <c r="G17" s="185">
        <f t="shared" si="0"/>
        <v>6366.1091200000001</v>
      </c>
    </row>
    <row r="18" spans="1:7" ht="15" customHeight="1" x14ac:dyDescent="0.2">
      <c r="A18" s="44" t="s">
        <v>124</v>
      </c>
      <c r="B18" s="174">
        <v>17</v>
      </c>
      <c r="C18" s="45"/>
      <c r="D18" s="45"/>
      <c r="E18" s="46">
        <v>8.9269000000000001E-2</v>
      </c>
      <c r="F18" s="114">
        <v>1942</v>
      </c>
      <c r="G18" s="185">
        <f t="shared" si="0"/>
        <v>5519.1892459999999</v>
      </c>
    </row>
    <row r="19" spans="1:7" ht="15" customHeight="1" x14ac:dyDescent="0.2">
      <c r="A19" s="44" t="s">
        <v>125</v>
      </c>
      <c r="B19" s="174">
        <v>17</v>
      </c>
      <c r="C19" s="45"/>
      <c r="D19" s="45"/>
      <c r="E19" s="46">
        <v>8.8680999999999996E-2</v>
      </c>
      <c r="F19" s="114">
        <v>1885</v>
      </c>
      <c r="G19" s="185">
        <f t="shared" si="0"/>
        <v>5357.1945049999995</v>
      </c>
    </row>
    <row r="20" spans="1:7" ht="15" customHeight="1" x14ac:dyDescent="0.2">
      <c r="A20" s="44" t="s">
        <v>126</v>
      </c>
      <c r="B20" s="174">
        <v>17</v>
      </c>
      <c r="C20" s="45"/>
      <c r="D20" s="45"/>
      <c r="E20" s="46">
        <v>6.0490000000000002E-2</v>
      </c>
      <c r="F20" s="114">
        <v>1932</v>
      </c>
      <c r="G20" s="185">
        <f t="shared" si="0"/>
        <v>5490.7691159999995</v>
      </c>
    </row>
    <row r="21" spans="1:7" ht="15" customHeight="1" x14ac:dyDescent="0.2">
      <c r="A21" s="44" t="s">
        <v>127</v>
      </c>
      <c r="B21" s="174">
        <v>17</v>
      </c>
      <c r="C21" s="45"/>
      <c r="D21" s="45"/>
      <c r="E21" s="46">
        <v>9.2204999999999995E-2</v>
      </c>
      <c r="F21" s="114">
        <v>1885</v>
      </c>
      <c r="G21" s="185">
        <f t="shared" si="0"/>
        <v>5357.1945049999995</v>
      </c>
    </row>
    <row r="22" spans="1:7" ht="15" customHeight="1" x14ac:dyDescent="0.2">
      <c r="A22" s="44" t="s">
        <v>128</v>
      </c>
      <c r="B22" s="174">
        <v>17</v>
      </c>
      <c r="C22" s="45"/>
      <c r="D22" s="45"/>
      <c r="E22" s="46">
        <v>7.5760999999999995E-2</v>
      </c>
      <c r="F22" s="114">
        <v>1932</v>
      </c>
      <c r="G22" s="185">
        <f t="shared" si="0"/>
        <v>5490.7691159999995</v>
      </c>
    </row>
    <row r="23" spans="1:7" ht="15" customHeight="1" x14ac:dyDescent="0.2">
      <c r="A23" s="44" t="s">
        <v>129</v>
      </c>
      <c r="B23" s="174">
        <f>29+54</f>
        <v>83</v>
      </c>
      <c r="C23" s="45"/>
      <c r="D23" s="45"/>
      <c r="E23" s="46">
        <v>0.47864200000000001</v>
      </c>
      <c r="F23" s="114">
        <v>11897</v>
      </c>
      <c r="G23" s="185">
        <f t="shared" si="0"/>
        <v>33811.428660999998</v>
      </c>
    </row>
    <row r="24" spans="1:7" x14ac:dyDescent="0.2">
      <c r="A24" s="44" t="s">
        <v>130</v>
      </c>
      <c r="B24" s="174">
        <f>29+54</f>
        <v>83</v>
      </c>
      <c r="C24" s="45"/>
      <c r="D24" s="45"/>
      <c r="E24" s="46">
        <v>0.476881</v>
      </c>
      <c r="F24" s="114">
        <v>11693</v>
      </c>
      <c r="G24" s="185">
        <f t="shared" si="0"/>
        <v>33231.658008999999</v>
      </c>
    </row>
    <row r="25" spans="1:7" x14ac:dyDescent="0.2">
      <c r="A25" s="44" t="s">
        <v>131</v>
      </c>
      <c r="B25" s="174">
        <v>109</v>
      </c>
      <c r="C25" s="45"/>
      <c r="D25" s="45"/>
      <c r="E25" s="46">
        <v>0.59786300000000003</v>
      </c>
      <c r="F25" s="114">
        <v>14999</v>
      </c>
      <c r="G25" s="185">
        <f t="shared" si="0"/>
        <v>42627.352986999998</v>
      </c>
    </row>
    <row r="26" spans="1:7" x14ac:dyDescent="0.2">
      <c r="A26" s="44" t="s">
        <v>132</v>
      </c>
      <c r="B26" s="174">
        <v>210</v>
      </c>
      <c r="C26" s="45"/>
      <c r="D26" s="45"/>
      <c r="E26" s="46">
        <v>1.0982339999999999</v>
      </c>
      <c r="F26" s="114">
        <v>26963</v>
      </c>
      <c r="G26" s="185">
        <f t="shared" si="0"/>
        <v>76629.19651899999</v>
      </c>
    </row>
    <row r="27" spans="1:7" x14ac:dyDescent="0.2">
      <c r="A27" s="44" t="s">
        <v>133</v>
      </c>
      <c r="B27" s="174">
        <f>60+30+60+60</f>
        <v>210</v>
      </c>
      <c r="C27" s="45"/>
      <c r="D27" s="45"/>
      <c r="E27" s="46">
        <v>1.124663</v>
      </c>
      <c r="F27" s="114">
        <v>27065</v>
      </c>
      <c r="G27" s="185">
        <f t="shared" si="0"/>
        <v>76919.081844999993</v>
      </c>
    </row>
    <row r="28" spans="1:7" x14ac:dyDescent="0.2">
      <c r="A28" s="44" t="s">
        <v>134</v>
      </c>
      <c r="B28" s="174">
        <f>156+60</f>
        <v>216</v>
      </c>
      <c r="C28" s="45"/>
      <c r="D28" s="45"/>
      <c r="E28" s="46">
        <v>1.368976</v>
      </c>
      <c r="F28" s="114">
        <v>30803</v>
      </c>
      <c r="G28" s="185">
        <f t="shared" si="0"/>
        <v>87542.526438999994</v>
      </c>
    </row>
    <row r="29" spans="1:7" x14ac:dyDescent="0.2">
      <c r="A29" s="44" t="s">
        <v>135</v>
      </c>
      <c r="B29" s="174">
        <f>90+60+60</f>
        <v>210</v>
      </c>
      <c r="C29" s="45"/>
      <c r="D29" s="45"/>
      <c r="E29" s="46">
        <v>0.51916600000000002</v>
      </c>
      <c r="F29" s="114">
        <v>27079</v>
      </c>
      <c r="G29" s="185">
        <f t="shared" si="0"/>
        <v>76958.870026999997</v>
      </c>
    </row>
    <row r="30" spans="1:7" x14ac:dyDescent="0.2">
      <c r="A30" s="44" t="s">
        <v>136</v>
      </c>
      <c r="B30" s="174">
        <f>55+55+60</f>
        <v>170</v>
      </c>
      <c r="C30" s="45"/>
      <c r="D30" s="45"/>
      <c r="E30" s="46">
        <v>0.89444400000000002</v>
      </c>
      <c r="F30" s="114">
        <v>23014</v>
      </c>
      <c r="G30" s="185">
        <f t="shared" si="0"/>
        <v>65406.087181999996</v>
      </c>
    </row>
    <row r="31" spans="1:7" x14ac:dyDescent="0.2">
      <c r="A31" s="44" t="s">
        <v>137</v>
      </c>
      <c r="B31" s="174">
        <f>58+90+60</f>
        <v>208</v>
      </c>
      <c r="C31" s="45"/>
      <c r="D31" s="45"/>
      <c r="E31" s="46">
        <v>0.90149199999999996</v>
      </c>
      <c r="F31" s="114">
        <v>27285</v>
      </c>
      <c r="G31" s="185">
        <f t="shared" si="0"/>
        <v>77544.324704999992</v>
      </c>
    </row>
    <row r="32" spans="1:7" x14ac:dyDescent="0.2">
      <c r="A32" s="44" t="s">
        <v>138</v>
      </c>
      <c r="B32" s="174">
        <v>186</v>
      </c>
      <c r="C32" s="45"/>
      <c r="D32" s="45"/>
      <c r="E32" s="46">
        <v>1.028934</v>
      </c>
      <c r="F32" s="114">
        <v>28107</v>
      </c>
      <c r="G32" s="185">
        <f t="shared" si="0"/>
        <v>79880.459390999997</v>
      </c>
    </row>
    <row r="33" spans="1:7" x14ac:dyDescent="0.2">
      <c r="A33" s="44" t="s">
        <v>139</v>
      </c>
      <c r="B33" s="174">
        <f>66+66+66</f>
        <v>198</v>
      </c>
      <c r="C33" s="45"/>
      <c r="D33" s="45"/>
      <c r="E33" s="46">
        <v>0.93555500000000003</v>
      </c>
      <c r="F33" s="114">
        <v>24242</v>
      </c>
      <c r="G33" s="185">
        <f t="shared" si="0"/>
        <v>68896.079146000004</v>
      </c>
    </row>
    <row r="34" spans="1:7" x14ac:dyDescent="0.2">
      <c r="A34" s="44" t="s">
        <v>140</v>
      </c>
      <c r="B34" s="174">
        <f>60+60+30</f>
        <v>150</v>
      </c>
      <c r="C34" s="45"/>
      <c r="D34" s="45"/>
      <c r="E34" s="46">
        <v>0.68184500000000003</v>
      </c>
      <c r="F34" s="114">
        <v>20459</v>
      </c>
      <c r="G34" s="185">
        <f t="shared" si="0"/>
        <v>58144.743967000002</v>
      </c>
    </row>
    <row r="35" spans="1:7" x14ac:dyDescent="0.2">
      <c r="A35" s="44" t="s">
        <v>141</v>
      </c>
      <c r="B35" s="174">
        <f>30+60+30+60</f>
        <v>180</v>
      </c>
      <c r="C35" s="45"/>
      <c r="D35" s="45"/>
      <c r="E35" s="46">
        <v>0.78990700000000003</v>
      </c>
      <c r="F35" s="114">
        <v>23573</v>
      </c>
      <c r="G35" s="185">
        <f t="shared" si="0"/>
        <v>66994.772448999996</v>
      </c>
    </row>
    <row r="36" spans="1:7" x14ac:dyDescent="0.2">
      <c r="A36" s="44" t="s">
        <v>142</v>
      </c>
      <c r="B36" s="174">
        <v>258</v>
      </c>
      <c r="C36" s="45"/>
      <c r="D36" s="45"/>
      <c r="E36" s="46">
        <v>1.2838179999999999</v>
      </c>
      <c r="F36" s="114">
        <v>31918</v>
      </c>
      <c r="G36" s="185">
        <f t="shared" si="0"/>
        <v>90711.370934000006</v>
      </c>
    </row>
    <row r="37" spans="1:7" x14ac:dyDescent="0.2">
      <c r="A37" s="44" t="s">
        <v>143</v>
      </c>
      <c r="B37" s="174">
        <f>30+30+30+20+20+20+20+20+20</f>
        <v>210</v>
      </c>
      <c r="C37" s="45"/>
      <c r="D37" s="45"/>
      <c r="E37" s="46">
        <v>1.003681</v>
      </c>
      <c r="F37" s="114">
        <v>30243</v>
      </c>
      <c r="G37" s="185">
        <f t="shared" si="0"/>
        <v>85950.999158999999</v>
      </c>
    </row>
    <row r="38" spans="1:7" x14ac:dyDescent="0.2">
      <c r="A38" s="44" t="s">
        <v>144</v>
      </c>
      <c r="B38" s="174">
        <v>30</v>
      </c>
      <c r="C38" s="45"/>
      <c r="D38" s="45"/>
      <c r="E38" s="46"/>
      <c r="F38" s="114">
        <v>3875</v>
      </c>
      <c r="G38" s="185">
        <f t="shared" si="0"/>
        <v>11012.800375000001</v>
      </c>
    </row>
    <row r="39" spans="1:7" x14ac:dyDescent="0.2">
      <c r="A39" s="44" t="s">
        <v>145</v>
      </c>
      <c r="B39" s="174">
        <v>22</v>
      </c>
      <c r="C39" s="45"/>
      <c r="D39" s="45"/>
      <c r="E39" s="46"/>
      <c r="F39" s="114">
        <v>3785</v>
      </c>
      <c r="G39" s="185">
        <f t="shared" si="0"/>
        <v>10757.019205000001</v>
      </c>
    </row>
    <row r="40" spans="1:7" x14ac:dyDescent="0.2">
      <c r="A40" s="44" t="s">
        <v>146</v>
      </c>
      <c r="B40" s="174">
        <v>40</v>
      </c>
      <c r="C40" s="45"/>
      <c r="D40" s="45"/>
      <c r="E40" s="46">
        <v>0.189108</v>
      </c>
      <c r="F40" s="114">
        <v>6379</v>
      </c>
      <c r="G40" s="185">
        <f t="shared" si="0"/>
        <v>18129.200927000002</v>
      </c>
    </row>
    <row r="41" spans="1:7" x14ac:dyDescent="0.2">
      <c r="A41" s="44" t="s">
        <v>147</v>
      </c>
      <c r="B41" s="174"/>
      <c r="C41" s="45"/>
      <c r="D41" s="45"/>
      <c r="E41" s="46"/>
      <c r="F41" s="114"/>
      <c r="G41" s="187"/>
    </row>
    <row r="42" spans="1:7" x14ac:dyDescent="0.2">
      <c r="A42" s="44" t="s">
        <v>148</v>
      </c>
      <c r="B42" s="174"/>
      <c r="C42" s="45"/>
      <c r="D42" s="45"/>
      <c r="E42" s="46"/>
      <c r="F42" s="114"/>
      <c r="G42" s="187"/>
    </row>
    <row r="43" spans="1:7" x14ac:dyDescent="0.2">
      <c r="A43" s="44" t="s">
        <v>149</v>
      </c>
      <c r="B43" s="174"/>
      <c r="C43" s="45"/>
      <c r="D43" s="45"/>
      <c r="E43" s="46"/>
      <c r="F43" s="114"/>
      <c r="G43" s="187"/>
    </row>
    <row r="44" spans="1:7" x14ac:dyDescent="0.2">
      <c r="A44" s="44" t="s">
        <v>150</v>
      </c>
      <c r="B44" s="174"/>
      <c r="C44" s="45"/>
      <c r="D44" s="45"/>
      <c r="E44" s="46"/>
      <c r="F44" s="114"/>
      <c r="G44" s="187"/>
    </row>
    <row r="45" spans="1:7" x14ac:dyDescent="0.2">
      <c r="A45" s="44" t="s">
        <v>151</v>
      </c>
      <c r="B45" s="174"/>
      <c r="C45" s="45"/>
      <c r="D45" s="45"/>
      <c r="E45" s="46"/>
      <c r="F45" s="114"/>
      <c r="G45" s="187"/>
    </row>
    <row r="46" spans="1:7" x14ac:dyDescent="0.2">
      <c r="A46" s="44" t="s">
        <v>152</v>
      </c>
      <c r="B46" s="174"/>
      <c r="C46" s="45"/>
      <c r="D46" s="45"/>
      <c r="E46" s="46"/>
      <c r="F46" s="114"/>
      <c r="G46" s="187"/>
    </row>
    <row r="47" spans="1:7" x14ac:dyDescent="0.2">
      <c r="A47" s="44" t="s">
        <v>153</v>
      </c>
      <c r="B47" s="174"/>
      <c r="C47" s="45"/>
      <c r="D47" s="45"/>
      <c r="E47" s="46"/>
      <c r="F47" s="114"/>
      <c r="G47" s="187"/>
    </row>
    <row r="48" spans="1:7" x14ac:dyDescent="0.2">
      <c r="A48" s="44" t="s">
        <v>154</v>
      </c>
      <c r="B48" s="174"/>
      <c r="C48" s="45"/>
      <c r="D48" s="45"/>
      <c r="E48" s="46"/>
      <c r="F48" s="114"/>
      <c r="G48" s="187"/>
    </row>
    <row r="49" spans="1:7" x14ac:dyDescent="0.2">
      <c r="A49" s="44" t="s">
        <v>155</v>
      </c>
      <c r="B49" s="174"/>
      <c r="C49" s="45"/>
      <c r="D49" s="45"/>
      <c r="E49" s="46"/>
      <c r="F49" s="114"/>
      <c r="G49" s="187"/>
    </row>
    <row r="50" spans="1:7" x14ac:dyDescent="0.2">
      <c r="A50" s="44" t="s">
        <v>156</v>
      </c>
      <c r="B50" s="174"/>
      <c r="C50" s="45"/>
      <c r="D50" s="45"/>
      <c r="E50" s="46"/>
      <c r="F50" s="114"/>
      <c r="G50" s="187"/>
    </row>
    <row r="51" spans="1:7" x14ac:dyDescent="0.2">
      <c r="A51" s="44" t="s">
        <v>157</v>
      </c>
      <c r="B51" s="174"/>
      <c r="C51" s="45"/>
      <c r="D51" s="45"/>
      <c r="E51" s="46"/>
      <c r="F51" s="114"/>
      <c r="G51" s="187"/>
    </row>
    <row r="52" spans="1:7" x14ac:dyDescent="0.2">
      <c r="A52" s="44" t="s">
        <v>158</v>
      </c>
      <c r="B52" s="174">
        <v>46</v>
      </c>
      <c r="C52" s="45"/>
      <c r="D52" s="45"/>
      <c r="E52" s="46">
        <v>0.152696</v>
      </c>
      <c r="F52" s="114">
        <v>6728</v>
      </c>
      <c r="G52" s="187">
        <f>F52*2842.013/1000</f>
        <v>19121.063463999999</v>
      </c>
    </row>
    <row r="53" spans="1:7" x14ac:dyDescent="0.2">
      <c r="A53" s="44" t="s">
        <v>159</v>
      </c>
      <c r="B53" s="174"/>
      <c r="C53" s="45"/>
      <c r="D53" s="45"/>
      <c r="E53" s="46"/>
      <c r="F53" s="114"/>
      <c r="G53" s="187"/>
    </row>
    <row r="54" spans="1:7" x14ac:dyDescent="0.2">
      <c r="A54" s="44" t="s">
        <v>160</v>
      </c>
      <c r="B54" s="174"/>
      <c r="C54" s="45"/>
      <c r="D54" s="45"/>
      <c r="E54" s="46"/>
      <c r="F54" s="114"/>
      <c r="G54" s="187"/>
    </row>
    <row r="55" spans="1:7" x14ac:dyDescent="0.2">
      <c r="A55" s="44" t="s">
        <v>161</v>
      </c>
      <c r="B55" s="174">
        <v>20</v>
      </c>
      <c r="C55" s="45"/>
      <c r="D55" s="45"/>
      <c r="E55" s="46"/>
      <c r="F55" s="114">
        <v>2300</v>
      </c>
      <c r="G55" s="187">
        <f>F55*2842.013/1000</f>
        <v>6536.629899999999</v>
      </c>
    </row>
    <row r="56" spans="1:7" x14ac:dyDescent="0.2">
      <c r="A56" s="44" t="s">
        <v>162</v>
      </c>
      <c r="B56" s="45"/>
      <c r="C56" s="45"/>
      <c r="D56" s="45"/>
      <c r="E56" s="46"/>
      <c r="F56" s="114"/>
      <c r="G56" s="187"/>
    </row>
    <row r="57" spans="1:7" x14ac:dyDescent="0.2">
      <c r="A57" s="44" t="s">
        <v>163</v>
      </c>
      <c r="B57" s="45"/>
      <c r="C57" s="45"/>
      <c r="D57" s="45"/>
      <c r="E57" s="46"/>
      <c r="F57" s="114"/>
      <c r="G57" s="187"/>
    </row>
    <row r="58" spans="1:7" x14ac:dyDescent="0.2">
      <c r="A58" s="44" t="s">
        <v>164</v>
      </c>
      <c r="B58" s="45"/>
      <c r="C58" s="45"/>
      <c r="D58" s="45"/>
      <c r="E58" s="46"/>
      <c r="F58" s="114"/>
      <c r="G58" s="187"/>
    </row>
    <row r="59" spans="1:7" x14ac:dyDescent="0.2">
      <c r="A59" s="44" t="s">
        <v>165</v>
      </c>
      <c r="B59" s="45"/>
      <c r="C59" s="45"/>
      <c r="D59" s="45"/>
      <c r="E59" s="46"/>
      <c r="F59" s="114"/>
      <c r="G59" s="187"/>
    </row>
    <row r="60" spans="1:7" x14ac:dyDescent="0.2">
      <c r="A60" s="44" t="s">
        <v>166</v>
      </c>
      <c r="B60" s="45"/>
      <c r="C60" s="45"/>
      <c r="D60" s="45"/>
      <c r="E60" s="46"/>
      <c r="F60" s="114"/>
      <c r="G60" s="187"/>
    </row>
    <row r="61" spans="1:7" x14ac:dyDescent="0.2">
      <c r="A61" s="44" t="s">
        <v>167</v>
      </c>
      <c r="B61" s="45"/>
      <c r="C61" s="45"/>
      <c r="D61" s="45"/>
      <c r="E61" s="46"/>
      <c r="F61" s="114"/>
      <c r="G61" s="187"/>
    </row>
    <row r="62" spans="1:7" x14ac:dyDescent="0.2">
      <c r="A62" s="44" t="s">
        <v>168</v>
      </c>
      <c r="B62" s="45"/>
      <c r="C62" s="45"/>
      <c r="D62" s="45"/>
      <c r="E62" s="46"/>
      <c r="F62" s="114"/>
      <c r="G62" s="187"/>
    </row>
    <row r="63" spans="1:7" x14ac:dyDescent="0.2">
      <c r="A63" s="44" t="s">
        <v>169</v>
      </c>
      <c r="B63" s="174">
        <v>136</v>
      </c>
      <c r="C63" s="45"/>
      <c r="D63" s="45"/>
      <c r="E63" s="46">
        <v>0.84980999999999995</v>
      </c>
      <c r="F63" s="114">
        <v>21875</v>
      </c>
      <c r="G63" s="187">
        <f>F63*2842.013/1000</f>
        <v>62169.034375000003</v>
      </c>
    </row>
    <row r="64" spans="1:7" x14ac:dyDescent="0.2">
      <c r="A64" s="44" t="s">
        <v>170</v>
      </c>
      <c r="B64" s="174"/>
      <c r="C64" s="45"/>
      <c r="D64" s="45"/>
      <c r="E64" s="46"/>
      <c r="F64" s="114"/>
      <c r="G64" s="187"/>
    </row>
    <row r="65" spans="1:7" x14ac:dyDescent="0.2">
      <c r="A65" s="44" t="s">
        <v>171</v>
      </c>
      <c r="B65" s="174">
        <v>120</v>
      </c>
      <c r="C65" s="45"/>
      <c r="D65" s="45"/>
      <c r="E65" s="46">
        <v>0.48451499999999997</v>
      </c>
      <c r="F65" s="114">
        <v>15043</v>
      </c>
      <c r="G65" s="187">
        <f>F65*2842.013/1000</f>
        <v>42752.401558999998</v>
      </c>
    </row>
    <row r="66" spans="1:7" x14ac:dyDescent="0.2">
      <c r="A66" s="44" t="s">
        <v>172</v>
      </c>
      <c r="B66" s="174">
        <v>151</v>
      </c>
      <c r="C66" s="45"/>
      <c r="D66" s="45"/>
      <c r="E66" s="46">
        <v>0.78990700000000003</v>
      </c>
      <c r="F66" s="114">
        <v>20213</v>
      </c>
      <c r="G66" s="187">
        <f>F66*2842.013/1000</f>
        <v>57445.608768999999</v>
      </c>
    </row>
    <row r="67" spans="1:7" x14ac:dyDescent="0.2">
      <c r="A67" s="44" t="s">
        <v>173</v>
      </c>
      <c r="B67" s="174"/>
      <c r="C67" s="45"/>
      <c r="D67" s="45"/>
      <c r="E67" s="46"/>
      <c r="F67" s="114"/>
      <c r="G67" s="187"/>
    </row>
    <row r="68" spans="1:7" x14ac:dyDescent="0.2">
      <c r="A68" s="44" t="s">
        <v>174</v>
      </c>
      <c r="B68" s="174">
        <f>12+12+12+12+12</f>
        <v>60</v>
      </c>
      <c r="C68" s="45"/>
      <c r="D68" s="45"/>
      <c r="E68" s="46">
        <v>0.28601100000000002</v>
      </c>
      <c r="F68" s="114">
        <v>9550</v>
      </c>
      <c r="G68" s="187">
        <f>F68*2842.013/1000</f>
        <v>27141.224149999998</v>
      </c>
    </row>
    <row r="69" spans="1:7" x14ac:dyDescent="0.2">
      <c r="A69" s="44" t="s">
        <v>175</v>
      </c>
      <c r="B69" s="174"/>
      <c r="C69" s="45"/>
      <c r="D69" s="45"/>
      <c r="E69" s="46"/>
      <c r="F69" s="114"/>
      <c r="G69" s="187"/>
    </row>
    <row r="70" spans="1:7" x14ac:dyDescent="0.2">
      <c r="A70" s="44" t="s">
        <v>176</v>
      </c>
      <c r="B70" s="174">
        <v>175</v>
      </c>
      <c r="C70" s="45"/>
      <c r="D70" s="45"/>
      <c r="E70" s="46">
        <v>0.89327000000000001</v>
      </c>
      <c r="F70" s="114">
        <v>23695</v>
      </c>
      <c r="G70" s="187">
        <f>F70*2842.013/1000</f>
        <v>67341.498034999997</v>
      </c>
    </row>
    <row r="71" spans="1:7" x14ac:dyDescent="0.2">
      <c r="A71" s="44" t="s">
        <v>177</v>
      </c>
      <c r="B71" s="174">
        <f>60+60+60</f>
        <v>180</v>
      </c>
      <c r="C71" s="45"/>
      <c r="D71" s="45"/>
      <c r="E71" s="46">
        <v>0.83101700000000001</v>
      </c>
      <c r="F71" s="114">
        <v>23250</v>
      </c>
      <c r="G71" s="187">
        <f>F71*2842.013/1000</f>
        <v>66076.802249999993</v>
      </c>
    </row>
    <row r="72" spans="1:7" x14ac:dyDescent="0.2">
      <c r="A72" s="44" t="s">
        <v>178</v>
      </c>
      <c r="B72" s="174">
        <f>60+60</f>
        <v>120</v>
      </c>
      <c r="C72" s="45"/>
      <c r="D72" s="45"/>
      <c r="E72" s="46">
        <v>0.64249699999999998</v>
      </c>
      <c r="F72" s="114">
        <v>15400</v>
      </c>
      <c r="G72" s="187">
        <f>F72*2842.013/1000</f>
        <v>43767.000199999995</v>
      </c>
    </row>
    <row r="73" spans="1:7" x14ac:dyDescent="0.2">
      <c r="A73" s="44" t="s">
        <v>179</v>
      </c>
      <c r="B73" s="174">
        <f>90+30</f>
        <v>120</v>
      </c>
      <c r="C73" s="45"/>
      <c r="D73" s="45"/>
      <c r="E73" s="46">
        <v>0.56673600000000002</v>
      </c>
      <c r="F73" s="114">
        <v>15500</v>
      </c>
      <c r="G73" s="187">
        <f>F73*2842.013/1000</f>
        <v>44051.201500000003</v>
      </c>
    </row>
    <row r="74" spans="1:7" x14ac:dyDescent="0.2">
      <c r="A74" s="44" t="s">
        <v>180</v>
      </c>
      <c r="B74" s="174"/>
      <c r="C74" s="45"/>
      <c r="D74" s="45"/>
      <c r="E74" s="46"/>
      <c r="F74" s="114"/>
      <c r="G74" s="187"/>
    </row>
    <row r="75" spans="1:7" x14ac:dyDescent="0.2">
      <c r="A75" s="44" t="s">
        <v>181</v>
      </c>
      <c r="B75" s="174"/>
      <c r="C75" s="45"/>
      <c r="D75" s="45"/>
      <c r="E75" s="46"/>
      <c r="F75" s="114"/>
      <c r="G75" s="187"/>
    </row>
    <row r="76" spans="1:7" x14ac:dyDescent="0.2">
      <c r="A76" s="44" t="s">
        <v>182</v>
      </c>
      <c r="B76" s="314">
        <f>36+36+36</f>
        <v>108</v>
      </c>
      <c r="C76" s="45"/>
      <c r="D76" s="45"/>
      <c r="E76" s="46">
        <v>0.55616500000000002</v>
      </c>
      <c r="F76" s="114">
        <v>15362</v>
      </c>
      <c r="G76" s="187">
        <f>F76*2842.013/1000</f>
        <v>43659.003706000003</v>
      </c>
    </row>
    <row r="77" spans="1:7" x14ac:dyDescent="0.2">
      <c r="A77" s="44" t="s">
        <v>183</v>
      </c>
      <c r="B77" s="174"/>
      <c r="C77" s="45"/>
      <c r="D77" s="45"/>
      <c r="E77" s="46"/>
      <c r="F77" s="114"/>
      <c r="G77" s="187"/>
    </row>
    <row r="78" spans="1:7" x14ac:dyDescent="0.2">
      <c r="A78" s="44" t="s">
        <v>184</v>
      </c>
      <c r="B78" s="174"/>
      <c r="C78" s="45"/>
      <c r="D78" s="45"/>
      <c r="E78" s="46"/>
      <c r="F78" s="114"/>
      <c r="G78" s="187"/>
    </row>
    <row r="79" spans="1:7" x14ac:dyDescent="0.2">
      <c r="A79" s="44" t="s">
        <v>185</v>
      </c>
      <c r="B79" s="174">
        <f>12+12+12+12</f>
        <v>48</v>
      </c>
      <c r="C79" s="45"/>
      <c r="D79" s="45"/>
      <c r="E79" s="46">
        <v>0.27074199999999998</v>
      </c>
      <c r="F79" s="114">
        <v>7594</v>
      </c>
      <c r="G79" s="187">
        <f t="shared" ref="G79:G87" si="1">F79*2842.013/1000</f>
        <v>21582.246722</v>
      </c>
    </row>
    <row r="80" spans="1:7" x14ac:dyDescent="0.2">
      <c r="A80" s="44" t="s">
        <v>186</v>
      </c>
      <c r="B80" s="174">
        <v>95</v>
      </c>
      <c r="C80" s="45"/>
      <c r="D80" s="45"/>
      <c r="E80" s="46">
        <v>0.40581800000000001</v>
      </c>
      <c r="F80" s="114">
        <v>11555</v>
      </c>
      <c r="G80" s="187">
        <f t="shared" si="1"/>
        <v>32839.460214999999</v>
      </c>
    </row>
    <row r="81" spans="1:7" x14ac:dyDescent="0.2">
      <c r="A81" s="44" t="s">
        <v>187</v>
      </c>
      <c r="B81" s="174">
        <f>36+36+36</f>
        <v>108</v>
      </c>
      <c r="C81" s="45"/>
      <c r="D81" s="45"/>
      <c r="E81" s="46">
        <v>0.51564200000000004</v>
      </c>
      <c r="F81" s="114">
        <v>15314</v>
      </c>
      <c r="G81" s="187">
        <f t="shared" si="1"/>
        <v>43522.587082000005</v>
      </c>
    </row>
    <row r="82" spans="1:7" x14ac:dyDescent="0.2">
      <c r="A82" s="44" t="s">
        <v>188</v>
      </c>
      <c r="B82" s="174">
        <v>48</v>
      </c>
      <c r="C82" s="45"/>
      <c r="D82" s="45"/>
      <c r="E82" s="46">
        <v>0.22786899999999999</v>
      </c>
      <c r="F82" s="114">
        <v>5319</v>
      </c>
      <c r="G82" s="187">
        <f t="shared" si="1"/>
        <v>15116.667147</v>
      </c>
    </row>
    <row r="83" spans="1:7" x14ac:dyDescent="0.2">
      <c r="A83" s="44" t="s">
        <v>189</v>
      </c>
      <c r="B83" s="174">
        <v>48</v>
      </c>
      <c r="C83" s="45"/>
      <c r="D83" s="45"/>
      <c r="E83" s="46">
        <v>0.21906</v>
      </c>
      <c r="F83" s="114">
        <v>5319</v>
      </c>
      <c r="G83" s="187">
        <f t="shared" si="1"/>
        <v>15116.667147</v>
      </c>
    </row>
    <row r="84" spans="1:7" x14ac:dyDescent="0.2">
      <c r="A84" s="44" t="s">
        <v>190</v>
      </c>
      <c r="B84" s="174">
        <v>47</v>
      </c>
      <c r="C84" s="45"/>
      <c r="D84" s="45"/>
      <c r="E84" s="46">
        <v>0.200267</v>
      </c>
      <c r="F84" s="114">
        <v>5408</v>
      </c>
      <c r="G84" s="187">
        <f t="shared" si="1"/>
        <v>15369.606303999999</v>
      </c>
    </row>
    <row r="85" spans="1:7" x14ac:dyDescent="0.2">
      <c r="A85" s="44" t="s">
        <v>191</v>
      </c>
      <c r="B85" s="174">
        <v>48</v>
      </c>
      <c r="C85" s="45"/>
      <c r="D85" s="45"/>
      <c r="E85" s="46">
        <v>0.20261599999999999</v>
      </c>
      <c r="F85" s="114">
        <v>5439</v>
      </c>
      <c r="G85" s="187">
        <f t="shared" si="1"/>
        <v>15457.708707</v>
      </c>
    </row>
    <row r="86" spans="1:7" x14ac:dyDescent="0.2">
      <c r="A86" s="44" t="s">
        <v>192</v>
      </c>
      <c r="B86" s="174">
        <v>48</v>
      </c>
      <c r="C86" s="45"/>
      <c r="D86" s="45"/>
      <c r="E86" s="46">
        <v>0.204378</v>
      </c>
      <c r="F86" s="114">
        <v>5439</v>
      </c>
      <c r="G86" s="187">
        <f t="shared" si="1"/>
        <v>15457.708707</v>
      </c>
    </row>
    <row r="87" spans="1:7" x14ac:dyDescent="0.2">
      <c r="A87" s="44" t="s">
        <v>193</v>
      </c>
      <c r="B87" s="174">
        <v>48</v>
      </c>
      <c r="C87" s="45"/>
      <c r="D87" s="45"/>
      <c r="E87" s="46">
        <v>0.229631</v>
      </c>
      <c r="F87" s="114">
        <v>5319</v>
      </c>
      <c r="G87" s="187">
        <f t="shared" si="1"/>
        <v>15116.667147</v>
      </c>
    </row>
    <row r="88" spans="1:7" x14ac:dyDescent="0.2">
      <c r="A88" s="44" t="s">
        <v>194</v>
      </c>
      <c r="B88" s="48"/>
      <c r="C88" s="45"/>
      <c r="D88" s="45"/>
      <c r="E88" s="46"/>
      <c r="F88" s="114"/>
      <c r="G88" s="187"/>
    </row>
    <row r="89" spans="1:7" x14ac:dyDescent="0.2">
      <c r="A89" s="44" t="s">
        <v>195</v>
      </c>
      <c r="B89" s="48"/>
      <c r="C89" s="45"/>
      <c r="D89" s="45"/>
      <c r="E89" s="46"/>
      <c r="F89" s="114"/>
      <c r="G89" s="187"/>
    </row>
    <row r="90" spans="1:7" x14ac:dyDescent="0.2">
      <c r="A90" s="44" t="s">
        <v>196</v>
      </c>
      <c r="B90" s="48"/>
      <c r="C90" s="45"/>
      <c r="D90" s="45"/>
      <c r="E90" s="46"/>
      <c r="F90" s="114"/>
      <c r="G90" s="187"/>
    </row>
    <row r="91" spans="1:7" x14ac:dyDescent="0.2">
      <c r="A91" s="44" t="s">
        <v>197</v>
      </c>
      <c r="B91" s="48"/>
      <c r="C91" s="45"/>
      <c r="D91" s="45"/>
      <c r="E91" s="46"/>
      <c r="F91" s="114"/>
      <c r="G91" s="187"/>
    </row>
    <row r="92" spans="1:7" x14ac:dyDescent="0.2">
      <c r="A92" s="44" t="s">
        <v>198</v>
      </c>
      <c r="B92" s="48"/>
      <c r="C92" s="45"/>
      <c r="D92" s="45"/>
      <c r="E92" s="46"/>
      <c r="F92" s="114"/>
      <c r="G92" s="187"/>
    </row>
    <row r="93" spans="1:7" x14ac:dyDescent="0.2">
      <c r="A93" s="44">
        <v>6158</v>
      </c>
      <c r="B93" s="48"/>
      <c r="C93" s="45"/>
      <c r="D93" s="45"/>
      <c r="E93" s="46"/>
      <c r="F93" s="114"/>
      <c r="G93" s="187"/>
    </row>
    <row r="94" spans="1:7" x14ac:dyDescent="0.2">
      <c r="A94" s="44" t="s">
        <v>199</v>
      </c>
      <c r="B94" s="48"/>
      <c r="C94" s="45"/>
      <c r="D94" s="45"/>
      <c r="E94" s="46"/>
      <c r="F94" s="114"/>
      <c r="G94" s="187"/>
    </row>
    <row r="95" spans="1:7" x14ac:dyDescent="0.2">
      <c r="A95" s="44" t="s">
        <v>200</v>
      </c>
      <c r="B95" s="48"/>
      <c r="C95" s="45"/>
      <c r="D95" s="45"/>
      <c r="E95" s="46"/>
      <c r="F95" s="114"/>
      <c r="G95" s="187"/>
    </row>
    <row r="96" spans="1:7" x14ac:dyDescent="0.2">
      <c r="A96" s="44" t="s">
        <v>201</v>
      </c>
      <c r="B96" s="48"/>
      <c r="C96" s="45"/>
      <c r="D96" s="45"/>
      <c r="E96" s="46"/>
      <c r="F96" s="114"/>
      <c r="G96" s="187"/>
    </row>
    <row r="97" spans="1:15" x14ac:dyDescent="0.2">
      <c r="A97" s="44" t="s">
        <v>202</v>
      </c>
      <c r="B97" s="48"/>
      <c r="C97" s="45"/>
      <c r="D97" s="45"/>
      <c r="E97" s="46"/>
      <c r="F97" s="114"/>
      <c r="G97" s="187"/>
    </row>
    <row r="98" spans="1:15" x14ac:dyDescent="0.2">
      <c r="A98" s="44" t="s">
        <v>203</v>
      </c>
      <c r="B98" s="48"/>
      <c r="C98" s="45"/>
      <c r="D98" s="45"/>
      <c r="E98" s="46"/>
      <c r="F98" s="114"/>
      <c r="G98" s="187"/>
    </row>
    <row r="99" spans="1:15" x14ac:dyDescent="0.2">
      <c r="A99" s="44" t="s">
        <v>204</v>
      </c>
      <c r="B99" s="48"/>
      <c r="C99" s="45"/>
      <c r="D99" s="45"/>
      <c r="E99" s="46"/>
      <c r="F99" s="114"/>
      <c r="G99" s="187"/>
    </row>
    <row r="100" spans="1:15" x14ac:dyDescent="0.2">
      <c r="A100" s="44" t="s">
        <v>205</v>
      </c>
      <c r="B100" s="48"/>
      <c r="C100" s="45"/>
      <c r="D100" s="45"/>
      <c r="E100" s="46"/>
      <c r="F100" s="114"/>
      <c r="G100" s="187"/>
    </row>
    <row r="101" spans="1:15" x14ac:dyDescent="0.2">
      <c r="A101" s="44" t="s">
        <v>206</v>
      </c>
      <c r="B101" s="48"/>
      <c r="C101" s="45"/>
      <c r="D101" s="45"/>
      <c r="E101" s="46"/>
      <c r="F101" s="114"/>
      <c r="G101" s="187"/>
    </row>
    <row r="102" spans="1:15" x14ac:dyDescent="0.2">
      <c r="A102" s="44" t="s">
        <v>207</v>
      </c>
      <c r="B102" s="48"/>
      <c r="C102" s="45"/>
      <c r="D102" s="45"/>
      <c r="E102" s="46"/>
      <c r="F102" s="114"/>
      <c r="G102" s="187"/>
      <c r="O102" s="384"/>
    </row>
    <row r="103" spans="1:15" x14ac:dyDescent="0.2">
      <c r="A103" s="47" t="s">
        <v>208</v>
      </c>
      <c r="B103" s="48"/>
      <c r="C103" s="45"/>
      <c r="D103" s="45"/>
      <c r="E103" s="46"/>
      <c r="F103" s="114"/>
      <c r="G103" s="255"/>
    </row>
    <row r="104" spans="1:15" x14ac:dyDescent="0.2">
      <c r="A104" s="349">
        <v>6103</v>
      </c>
      <c r="B104" s="350" t="s">
        <v>494</v>
      </c>
      <c r="C104" s="351"/>
      <c r="D104" s="351"/>
      <c r="E104" s="352"/>
      <c r="F104" s="353">
        <v>7164</v>
      </c>
      <c r="G104" s="354">
        <f>F104*2842.013/1000</f>
        <v>20360.181131999998</v>
      </c>
    </row>
    <row r="105" spans="1:15" x14ac:dyDescent="0.2">
      <c r="A105" s="44"/>
      <c r="B105" s="355" t="s">
        <v>510</v>
      </c>
      <c r="C105" s="45"/>
      <c r="D105" s="45"/>
      <c r="E105" s="46"/>
      <c r="F105" s="114">
        <v>4061</v>
      </c>
      <c r="G105" s="187">
        <f t="shared" ref="G105:G107" si="2">F105*2842.013/1000</f>
        <v>11541.414793</v>
      </c>
    </row>
    <row r="106" spans="1:15" x14ac:dyDescent="0.2">
      <c r="A106" s="367"/>
      <c r="B106" s="369">
        <v>31</v>
      </c>
      <c r="C106" s="368"/>
      <c r="D106" s="368"/>
      <c r="E106" s="368"/>
      <c r="F106" s="368">
        <v>4851</v>
      </c>
      <c r="G106" s="354">
        <f t="shared" si="2"/>
        <v>13786.605062999999</v>
      </c>
    </row>
    <row r="107" spans="1:15" x14ac:dyDescent="0.2">
      <c r="A107" s="396"/>
      <c r="B107" s="400" t="s">
        <v>530</v>
      </c>
      <c r="C107" s="397"/>
      <c r="D107" s="397"/>
      <c r="E107" s="398"/>
      <c r="F107" s="399">
        <v>4424</v>
      </c>
      <c r="G107" s="354">
        <f t="shared" si="2"/>
        <v>12573.065511999999</v>
      </c>
    </row>
    <row r="108" spans="1:15" x14ac:dyDescent="0.2">
      <c r="F108" s="383"/>
    </row>
  </sheetData>
  <mergeCells count="2">
    <mergeCell ref="A1:G1"/>
    <mergeCell ref="A2:G2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50" orientation="portrait" horizontalDpi="300" verticalDpi="300" r:id="rId1"/>
  <headerFooter alignWithMargins="0">
    <oddFooter>&amp;R&amp;P/&amp;N oldal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15</vt:i4>
      </vt:variant>
    </vt:vector>
  </HeadingPairs>
  <TitlesOfParts>
    <vt:vector size="26" baseType="lpstr">
      <vt:lpstr>I. táblázat</vt:lpstr>
      <vt:lpstr>II. táblázat</vt:lpstr>
      <vt:lpstr>III. táblázat</vt:lpstr>
      <vt:lpstr>IV. táblázat</vt:lpstr>
      <vt:lpstr>V. táblázat</vt:lpstr>
      <vt:lpstr>VI. táblázat</vt:lpstr>
      <vt:lpstr>VII. táblázat</vt:lpstr>
      <vt:lpstr>VIII. táblázat</vt:lpstr>
      <vt:lpstr>IX. táblázat</vt:lpstr>
      <vt:lpstr>X. táblázat</vt:lpstr>
      <vt:lpstr>XI. táblázat</vt:lpstr>
      <vt:lpstr>'IV. táblázat'!_pr470</vt:lpstr>
      <vt:lpstr>'IV. táblázat'!_pr475</vt:lpstr>
      <vt:lpstr>'VII. táblázat'!_pr497</vt:lpstr>
      <vt:lpstr>'VII. táblázat'!_pr500</vt:lpstr>
      <vt:lpstr>'VII. táblázat'!_pr501</vt:lpstr>
      <vt:lpstr>'IX. táblázat'!Nyomtatási_cím</vt:lpstr>
      <vt:lpstr>'VIII. táblázat'!Nyomtatási_cím</vt:lpstr>
      <vt:lpstr>'X. táblázat'!Nyomtatási_cím</vt:lpstr>
      <vt:lpstr>'XI. táblázat'!Nyomtatási_cím</vt:lpstr>
      <vt:lpstr>'I. táblázat'!Nyomtatási_terület</vt:lpstr>
      <vt:lpstr>'IX. táblázat'!Nyomtatási_terület</vt:lpstr>
      <vt:lpstr>'V. táblázat'!Nyomtatási_terület</vt:lpstr>
      <vt:lpstr>'VI. táblázat'!Nyomtatási_terület</vt:lpstr>
      <vt:lpstr>'X. táblázat'!Nyomtatási_terület</vt:lpstr>
      <vt:lpstr>'XI. táblázat'!Nyomtatási_terület</vt:lpstr>
    </vt:vector>
  </TitlesOfParts>
  <Company>T-Contractor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nagymik</dc:creator>
  <cp:lastModifiedBy>Kovács József 3</cp:lastModifiedBy>
  <cp:lastPrinted>2020-07-13T12:07:09Z</cp:lastPrinted>
  <dcterms:created xsi:type="dcterms:W3CDTF">2006-03-07T07:13:45Z</dcterms:created>
  <dcterms:modified xsi:type="dcterms:W3CDTF">2022-07-22T10:52:41Z</dcterms:modified>
</cp:coreProperties>
</file>